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990" windowHeight="7935"/>
  </bookViews>
  <sheets>
    <sheet name="EMPENHOS" sheetId="1" r:id="rId1"/>
  </sheets>
  <definedNames>
    <definedName name="_xlnm._FilterDatabase" localSheetId="0" hidden="1">EMPENHOS!$A$7:$AL$163</definedName>
    <definedName name="_xlnm.Print_Titles" localSheetId="0">EMPENHOS!$1:$7</definedName>
  </definedNames>
  <calcPr calcId="125725"/>
</workbook>
</file>

<file path=xl/calcChain.xml><?xml version="1.0" encoding="utf-8"?>
<calcChain xmlns="http://schemas.openxmlformats.org/spreadsheetml/2006/main">
  <c r="AG147" i="1"/>
  <c r="AG148"/>
  <c r="AJ148" s="1"/>
  <c r="AG149"/>
  <c r="AH148"/>
  <c r="AH149"/>
  <c r="AI148"/>
  <c r="AI149"/>
  <c r="AJ149" s="1"/>
  <c r="AJ147"/>
  <c r="AK148"/>
  <c r="AL147"/>
  <c r="AL148"/>
  <c r="AL149"/>
  <c r="AI163"/>
  <c r="AH163"/>
  <c r="AG163"/>
  <c r="AI162"/>
  <c r="AH162"/>
  <c r="AG162"/>
  <c r="AI161"/>
  <c r="AH161"/>
  <c r="AG161"/>
  <c r="AI160"/>
  <c r="AH160"/>
  <c r="AG160"/>
  <c r="AI159"/>
  <c r="AH159"/>
  <c r="AG159"/>
  <c r="AI158"/>
  <c r="AH158"/>
  <c r="AG158"/>
  <c r="AI157"/>
  <c r="AH157"/>
  <c r="AG157"/>
  <c r="AI156"/>
  <c r="AH156"/>
  <c r="AG156"/>
  <c r="AI155"/>
  <c r="AH155"/>
  <c r="AG155"/>
  <c r="AI154"/>
  <c r="AH154"/>
  <c r="AG154"/>
  <c r="AI153"/>
  <c r="AH153"/>
  <c r="AG153"/>
  <c r="AI152"/>
  <c r="AH152"/>
  <c r="AG152"/>
  <c r="AI151"/>
  <c r="AH151"/>
  <c r="AG151"/>
  <c r="AD44"/>
  <c r="AA18"/>
  <c r="AA17"/>
  <c r="AD18"/>
  <c r="AD16"/>
  <c r="AD13"/>
  <c r="Z11"/>
  <c r="AD11"/>
  <c r="AI150"/>
  <c r="AH150"/>
  <c r="AG150"/>
  <c r="AH147"/>
  <c r="AI147"/>
  <c r="AD124"/>
  <c r="R79"/>
  <c r="AD79"/>
  <c r="R75"/>
  <c r="AD75"/>
  <c r="R74"/>
  <c r="AD74"/>
  <c r="AD58"/>
  <c r="AC58"/>
  <c r="R58"/>
  <c r="Q58"/>
  <c r="AD49"/>
  <c r="Q49"/>
  <c r="AC42"/>
  <c r="Q42"/>
  <c r="R40"/>
  <c r="AD40"/>
  <c r="AD38"/>
  <c r="R38"/>
  <c r="AH35"/>
  <c r="R22"/>
  <c r="Q18"/>
  <c r="R18"/>
  <c r="Q17"/>
  <c r="R13"/>
  <c r="Q13"/>
  <c r="R10"/>
  <c r="R9"/>
  <c r="AI145"/>
  <c r="AH145"/>
  <c r="AG145"/>
  <c r="AI144"/>
  <c r="AH144"/>
  <c r="AG144"/>
  <c r="AI143"/>
  <c r="AH143"/>
  <c r="AG143"/>
  <c r="AI142"/>
  <c r="AH142"/>
  <c r="AG142"/>
  <c r="AI146"/>
  <c r="AH146"/>
  <c r="AG146"/>
  <c r="AC114"/>
  <c r="AI114" s="1"/>
  <c r="Q114"/>
  <c r="AA58"/>
  <c r="AA44"/>
  <c r="O44"/>
  <c r="Q23"/>
  <c r="P23"/>
  <c r="AG141"/>
  <c r="AG140"/>
  <c r="AG139"/>
  <c r="AG138"/>
  <c r="AG137"/>
  <c r="AG136"/>
  <c r="AG135"/>
  <c r="AG133"/>
  <c r="AG132"/>
  <c r="AG131"/>
  <c r="AG130"/>
  <c r="AI141"/>
  <c r="AH141"/>
  <c r="AL141" s="1"/>
  <c r="AI140"/>
  <c r="AH140"/>
  <c r="AI139"/>
  <c r="AH139"/>
  <c r="AL139" s="1"/>
  <c r="AI138"/>
  <c r="AH138"/>
  <c r="AI137"/>
  <c r="AH137"/>
  <c r="AL137" s="1"/>
  <c r="AI136"/>
  <c r="AH136"/>
  <c r="AI135"/>
  <c r="AH135"/>
  <c r="AL135" s="1"/>
  <c r="AI133"/>
  <c r="AH133"/>
  <c r="AI132"/>
  <c r="AH132"/>
  <c r="AL132" s="1"/>
  <c r="AI131"/>
  <c r="AH131"/>
  <c r="AI130"/>
  <c r="AH130"/>
  <c r="AL130" s="1"/>
  <c r="AI134"/>
  <c r="AH134"/>
  <c r="AH129"/>
  <c r="AG134"/>
  <c r="AA89"/>
  <c r="O89"/>
  <c r="Z49"/>
  <c r="AG49"/>
  <c r="AA49"/>
  <c r="O49"/>
  <c r="O45"/>
  <c r="AH45" s="1"/>
  <c r="AA42"/>
  <c r="AA38"/>
  <c r="N32"/>
  <c r="O21"/>
  <c r="AA21"/>
  <c r="O16"/>
  <c r="AA16"/>
  <c r="AA13"/>
  <c r="N115"/>
  <c r="Z115"/>
  <c r="AI115" s="1"/>
  <c r="Z79"/>
  <c r="Z75"/>
  <c r="Z72"/>
  <c r="AG52"/>
  <c r="O38"/>
  <c r="Z32"/>
  <c r="H23"/>
  <c r="Z22"/>
  <c r="N22"/>
  <c r="AH22" s="1"/>
  <c r="Z16"/>
  <c r="N16"/>
  <c r="N14"/>
  <c r="Z13"/>
  <c r="N79"/>
  <c r="N75"/>
  <c r="Z74"/>
  <c r="N74"/>
  <c r="AH74" s="1"/>
  <c r="N72"/>
  <c r="N49"/>
  <c r="M37"/>
  <c r="Y37"/>
  <c r="Y33"/>
  <c r="M33"/>
  <c r="N17"/>
  <c r="M16"/>
  <c r="V13"/>
  <c r="X13"/>
  <c r="W13"/>
  <c r="U13"/>
  <c r="T13"/>
  <c r="Y13"/>
  <c r="M13"/>
  <c r="M12"/>
  <c r="X72"/>
  <c r="AI72" s="1"/>
  <c r="X49"/>
  <c r="L49"/>
  <c r="V42"/>
  <c r="L32"/>
  <c r="X32"/>
  <c r="K72"/>
  <c r="W66"/>
  <c r="AI66" s="1"/>
  <c r="X58"/>
  <c r="L58"/>
  <c r="X40"/>
  <c r="L40"/>
  <c r="AH40" s="1"/>
  <c r="W38"/>
  <c r="K38"/>
  <c r="W26"/>
  <c r="K26"/>
  <c r="AH26" s="1"/>
  <c r="W11"/>
  <c r="AI106"/>
  <c r="AG106"/>
  <c r="AH106"/>
  <c r="AI128"/>
  <c r="AH128"/>
  <c r="AG128"/>
  <c r="AI127"/>
  <c r="AH127"/>
  <c r="AG127"/>
  <c r="AI123"/>
  <c r="AH123"/>
  <c r="AG123"/>
  <c r="AI120"/>
  <c r="AH120"/>
  <c r="AG120"/>
  <c r="AI129"/>
  <c r="AG129"/>
  <c r="AI126"/>
  <c r="AH126"/>
  <c r="AG126"/>
  <c r="AI125"/>
  <c r="AH125"/>
  <c r="AG125"/>
  <c r="AI124"/>
  <c r="AH124"/>
  <c r="AG124"/>
  <c r="AI122"/>
  <c r="AH122"/>
  <c r="AG122"/>
  <c r="AI121"/>
  <c r="AH121"/>
  <c r="AG121"/>
  <c r="AI119"/>
  <c r="AH119"/>
  <c r="AG119"/>
  <c r="AI118"/>
  <c r="AH118"/>
  <c r="AG118"/>
  <c r="AI117"/>
  <c r="AH117"/>
  <c r="AG117"/>
  <c r="AI116"/>
  <c r="AH116"/>
  <c r="AG116"/>
  <c r="AI113"/>
  <c r="AH113"/>
  <c r="AG113"/>
  <c r="AH115"/>
  <c r="AG115"/>
  <c r="AH114"/>
  <c r="AG114"/>
  <c r="AI110"/>
  <c r="AH110"/>
  <c r="AG110"/>
  <c r="AI109"/>
  <c r="AH109"/>
  <c r="AG109"/>
  <c r="AI108"/>
  <c r="AH108"/>
  <c r="AG108"/>
  <c r="AI107"/>
  <c r="AH107"/>
  <c r="AG107"/>
  <c r="AI112"/>
  <c r="AH112"/>
  <c r="AG112"/>
  <c r="AI111"/>
  <c r="AH111"/>
  <c r="AG111"/>
  <c r="AI105"/>
  <c r="AH105"/>
  <c r="AG105"/>
  <c r="AI104"/>
  <c r="AH104"/>
  <c r="AG104"/>
  <c r="W89"/>
  <c r="K89"/>
  <c r="K66"/>
  <c r="AH66" s="1"/>
  <c r="AH20"/>
  <c r="H17"/>
  <c r="H16"/>
  <c r="AH9"/>
  <c r="AG9"/>
  <c r="AG8"/>
  <c r="AI103"/>
  <c r="AH103"/>
  <c r="AG103"/>
  <c r="AI102"/>
  <c r="AH102"/>
  <c r="AG102"/>
  <c r="AI101"/>
  <c r="AH101"/>
  <c r="AG101"/>
  <c r="AI100"/>
  <c r="AH100"/>
  <c r="AG100"/>
  <c r="AI99"/>
  <c r="AH99"/>
  <c r="AG99"/>
  <c r="AI98"/>
  <c r="AH98"/>
  <c r="AG98"/>
  <c r="AI97"/>
  <c r="AH97"/>
  <c r="AG97"/>
  <c r="AI96"/>
  <c r="AH96"/>
  <c r="AG96"/>
  <c r="AI95"/>
  <c r="AH95"/>
  <c r="AG95"/>
  <c r="AI94"/>
  <c r="AH94"/>
  <c r="AG94"/>
  <c r="AI93"/>
  <c r="AH93"/>
  <c r="AG93"/>
  <c r="AI92"/>
  <c r="AH92"/>
  <c r="AG92"/>
  <c r="AI91"/>
  <c r="AH91"/>
  <c r="AG91"/>
  <c r="AI90"/>
  <c r="AH90"/>
  <c r="AG90"/>
  <c r="AH89"/>
  <c r="AG89"/>
  <c r="AI88"/>
  <c r="AH88"/>
  <c r="AG88"/>
  <c r="AI87"/>
  <c r="AH87"/>
  <c r="AG87"/>
  <c r="AI86"/>
  <c r="AH86"/>
  <c r="AG86"/>
  <c r="AI85"/>
  <c r="AH85"/>
  <c r="AG85"/>
  <c r="AI84"/>
  <c r="AH84"/>
  <c r="AG84"/>
  <c r="AI83"/>
  <c r="AH83"/>
  <c r="AG83"/>
  <c r="AI82"/>
  <c r="AH82"/>
  <c r="AG82"/>
  <c r="AI81"/>
  <c r="AH81"/>
  <c r="AG81"/>
  <c r="AI80"/>
  <c r="AH80"/>
  <c r="AG80"/>
  <c r="AI79"/>
  <c r="AH79"/>
  <c r="AG79"/>
  <c r="AI78"/>
  <c r="AH78"/>
  <c r="AG78"/>
  <c r="AI77"/>
  <c r="AH77"/>
  <c r="AG77"/>
  <c r="AI76"/>
  <c r="AH76"/>
  <c r="AG76"/>
  <c r="AG75"/>
  <c r="AI74"/>
  <c r="AG74"/>
  <c r="AI73"/>
  <c r="AH73"/>
  <c r="AG73"/>
  <c r="AH72"/>
  <c r="AG72"/>
  <c r="AI71"/>
  <c r="AH71"/>
  <c r="AG71"/>
  <c r="AI70"/>
  <c r="AH70"/>
  <c r="AG70"/>
  <c r="AI69"/>
  <c r="AH69"/>
  <c r="AG69"/>
  <c r="AI68"/>
  <c r="AH68"/>
  <c r="AG68"/>
  <c r="AI67"/>
  <c r="AH67"/>
  <c r="AG67"/>
  <c r="AG66"/>
  <c r="AI65"/>
  <c r="AH65"/>
  <c r="AG65"/>
  <c r="AI64"/>
  <c r="AH64"/>
  <c r="AG64"/>
  <c r="AI63"/>
  <c r="AH63"/>
  <c r="AG63"/>
  <c r="AI62"/>
  <c r="AH62"/>
  <c r="AG62"/>
  <c r="AI61"/>
  <c r="AH61"/>
  <c r="AG61"/>
  <c r="AI60"/>
  <c r="AH60"/>
  <c r="AG60"/>
  <c r="AI59"/>
  <c r="AH59"/>
  <c r="AG59"/>
  <c r="AI58"/>
  <c r="AG58"/>
  <c r="AI57"/>
  <c r="AH57"/>
  <c r="AG57"/>
  <c r="AI56"/>
  <c r="AH56"/>
  <c r="AG56"/>
  <c r="AI55"/>
  <c r="AH55"/>
  <c r="AG55"/>
  <c r="AI54"/>
  <c r="AH54"/>
  <c r="AG54"/>
  <c r="AI53"/>
  <c r="AH53"/>
  <c r="AG53"/>
  <c r="AI52"/>
  <c r="AH52"/>
  <c r="AI51"/>
  <c r="AH51"/>
  <c r="AG51"/>
  <c r="AI50"/>
  <c r="AH50"/>
  <c r="AG50"/>
  <c r="AI48"/>
  <c r="AH48"/>
  <c r="AG48"/>
  <c r="AI47"/>
  <c r="AH47"/>
  <c r="AG47"/>
  <c r="AI46"/>
  <c r="AH46"/>
  <c r="AG46"/>
  <c r="AI45"/>
  <c r="AG45"/>
  <c r="AI44"/>
  <c r="AH44"/>
  <c r="AG44"/>
  <c r="AI43"/>
  <c r="AH43"/>
  <c r="AG43"/>
  <c r="AI42"/>
  <c r="AH42"/>
  <c r="AG42"/>
  <c r="AI41"/>
  <c r="AH41"/>
  <c r="AG41"/>
  <c r="AI40"/>
  <c r="AG40"/>
  <c r="AI39"/>
  <c r="AH39"/>
  <c r="AG39"/>
  <c r="AI38"/>
  <c r="AH38"/>
  <c r="AG38"/>
  <c r="AI37"/>
  <c r="AH37"/>
  <c r="AG37"/>
  <c r="AI36"/>
  <c r="AH36"/>
  <c r="AG36"/>
  <c r="AI35"/>
  <c r="AG35"/>
  <c r="AI34"/>
  <c r="AH34"/>
  <c r="AG34"/>
  <c r="AI33"/>
  <c r="AH33"/>
  <c r="AG33"/>
  <c r="AI32"/>
  <c r="AH32"/>
  <c r="AG32"/>
  <c r="AI31"/>
  <c r="AH31"/>
  <c r="AG31"/>
  <c r="AI30"/>
  <c r="AH30"/>
  <c r="AG30"/>
  <c r="AI29"/>
  <c r="AH29"/>
  <c r="AG29"/>
  <c r="AI28"/>
  <c r="AH28"/>
  <c r="AG28"/>
  <c r="AI27"/>
  <c r="AH27"/>
  <c r="AG27"/>
  <c r="AI26"/>
  <c r="AG26"/>
  <c r="AI25"/>
  <c r="AH25"/>
  <c r="AG25"/>
  <c r="AI24"/>
  <c r="AH24"/>
  <c r="AG24"/>
  <c r="AI23"/>
  <c r="AH23"/>
  <c r="AG23"/>
  <c r="AI22"/>
  <c r="AG22"/>
  <c r="AI21"/>
  <c r="AH21"/>
  <c r="AG21"/>
  <c r="AI20"/>
  <c r="AG20"/>
  <c r="AI19"/>
  <c r="AH19"/>
  <c r="AG19"/>
  <c r="AI18"/>
  <c r="AH18"/>
  <c r="AG18"/>
  <c r="AI17"/>
  <c r="AH17"/>
  <c r="AG17"/>
  <c r="AI16"/>
  <c r="AG16"/>
  <c r="AI15"/>
  <c r="AH15"/>
  <c r="AG15"/>
  <c r="AI14"/>
  <c r="AH14"/>
  <c r="AG14"/>
  <c r="AH13"/>
  <c r="AG13"/>
  <c r="AI12"/>
  <c r="AH12"/>
  <c r="AG12"/>
  <c r="AI11"/>
  <c r="AH11"/>
  <c r="AG11"/>
  <c r="AI10"/>
  <c r="AH10"/>
  <c r="AG10"/>
  <c r="AI9"/>
  <c r="AI8"/>
  <c r="AH8"/>
  <c r="AK149" l="1"/>
  <c r="AK147"/>
  <c r="AK150"/>
  <c r="AL151"/>
  <c r="AK151"/>
  <c r="AL157"/>
  <c r="AK157"/>
  <c r="AJ160"/>
  <c r="AL163"/>
  <c r="AK163"/>
  <c r="AJ162"/>
  <c r="AL161"/>
  <c r="AK161"/>
  <c r="AL159"/>
  <c r="AK159"/>
  <c r="AJ158"/>
  <c r="AJ156"/>
  <c r="AL155"/>
  <c r="AK155"/>
  <c r="AJ154"/>
  <c r="AL153"/>
  <c r="AK153"/>
  <c r="AJ152"/>
  <c r="AH58"/>
  <c r="AI75"/>
  <c r="AL142"/>
  <c r="AL144"/>
  <c r="AK145"/>
  <c r="AH75"/>
  <c r="AL75" s="1"/>
  <c r="AJ151"/>
  <c r="AL152"/>
  <c r="AK152"/>
  <c r="AJ153"/>
  <c r="AL154"/>
  <c r="AK154"/>
  <c r="AJ155"/>
  <c r="AL156"/>
  <c r="AK156"/>
  <c r="AJ157"/>
  <c r="AL158"/>
  <c r="AK158"/>
  <c r="AJ159"/>
  <c r="AL160"/>
  <c r="AK160"/>
  <c r="AJ161"/>
  <c r="AL162"/>
  <c r="AK162"/>
  <c r="AJ163"/>
  <c r="AJ150"/>
  <c r="AL150"/>
  <c r="AK146"/>
  <c r="AH49"/>
  <c r="AK144"/>
  <c r="AI49"/>
  <c r="AK142"/>
  <c r="AL143"/>
  <c r="AK143"/>
  <c r="AJ144"/>
  <c r="AL145"/>
  <c r="AJ145"/>
  <c r="AJ143"/>
  <c r="AJ142"/>
  <c r="AJ146"/>
  <c r="AL146"/>
  <c r="AK134"/>
  <c r="AJ131"/>
  <c r="AK133"/>
  <c r="AK137"/>
  <c r="AK139"/>
  <c r="AK141"/>
  <c r="AK130"/>
  <c r="AK132"/>
  <c r="AK136"/>
  <c r="AK138"/>
  <c r="AK140"/>
  <c r="AK135"/>
  <c r="AJ134"/>
  <c r="AL134"/>
  <c r="AL131"/>
  <c r="AJ133"/>
  <c r="AL133"/>
  <c r="AJ136"/>
  <c r="AL136"/>
  <c r="AJ138"/>
  <c r="AL138"/>
  <c r="AJ140"/>
  <c r="AL140"/>
  <c r="AJ130"/>
  <c r="AK131"/>
  <c r="AJ132"/>
  <c r="AJ135"/>
  <c r="AJ137"/>
  <c r="AJ139"/>
  <c r="AJ141"/>
  <c r="AI89"/>
  <c r="AK89" s="1"/>
  <c r="AL126"/>
  <c r="AL120"/>
  <c r="AK120"/>
  <c r="AL127"/>
  <c r="AK127"/>
  <c r="AL129"/>
  <c r="AH16"/>
  <c r="AL16" s="1"/>
  <c r="AL128"/>
  <c r="AK128"/>
  <c r="AJ128"/>
  <c r="AL123"/>
  <c r="AK123"/>
  <c r="AJ123"/>
  <c r="AK126"/>
  <c r="AK129"/>
  <c r="AJ129"/>
  <c r="AL124"/>
  <c r="AK124"/>
  <c r="AL122"/>
  <c r="AK122"/>
  <c r="AL125"/>
  <c r="AK125"/>
  <c r="AJ125"/>
  <c r="AJ122"/>
  <c r="AL121"/>
  <c r="AK121"/>
  <c r="AL111"/>
  <c r="AK111"/>
  <c r="AL114"/>
  <c r="AK114"/>
  <c r="AL113"/>
  <c r="AK113"/>
  <c r="AL117"/>
  <c r="AK117"/>
  <c r="AL119"/>
  <c r="AK119"/>
  <c r="AJ113"/>
  <c r="AL116"/>
  <c r="AK116"/>
  <c r="AJ119"/>
  <c r="AL118"/>
  <c r="AK118"/>
  <c r="AJ117"/>
  <c r="AJ114"/>
  <c r="AL115"/>
  <c r="AK115"/>
  <c r="AL86"/>
  <c r="AL85"/>
  <c r="AL108"/>
  <c r="AK108"/>
  <c r="AJ109"/>
  <c r="AL110"/>
  <c r="AK110"/>
  <c r="AL109"/>
  <c r="AK109"/>
  <c r="AL107"/>
  <c r="AK107"/>
  <c r="AJ107"/>
  <c r="AL112"/>
  <c r="AK112"/>
  <c r="AJ111"/>
  <c r="AL106"/>
  <c r="AK106"/>
  <c r="AK104"/>
  <c r="AL105"/>
  <c r="AK105"/>
  <c r="AJ106"/>
  <c r="AL104"/>
  <c r="AJ112"/>
  <c r="AJ108"/>
  <c r="AJ110"/>
  <c r="AJ115"/>
  <c r="AJ116"/>
  <c r="AJ118"/>
  <c r="AJ121"/>
  <c r="AJ124"/>
  <c r="AJ126"/>
  <c r="AJ120"/>
  <c r="AJ127"/>
  <c r="AJ105"/>
  <c r="AJ104"/>
  <c r="AK82"/>
  <c r="AK94"/>
  <c r="AI13"/>
  <c r="AK13" s="1"/>
  <c r="AK77"/>
  <c r="AK23"/>
  <c r="AK39"/>
  <c r="AK93"/>
  <c r="AK101"/>
  <c r="AK61"/>
  <c r="AJ99"/>
  <c r="AK81"/>
  <c r="AK97"/>
  <c r="AK62"/>
  <c r="AK70"/>
  <c r="AJ71"/>
  <c r="AJ84"/>
  <c r="AL9"/>
  <c r="AK102"/>
  <c r="AK53"/>
  <c r="AL102"/>
  <c r="AJ9"/>
  <c r="AL62"/>
  <c r="AJ64"/>
  <c r="AK86"/>
  <c r="AK90"/>
  <c r="AK85"/>
  <c r="AK98"/>
  <c r="AL101"/>
  <c r="AL103"/>
  <c r="AJ55"/>
  <c r="AL61"/>
  <c r="AL63"/>
  <c r="AJ68"/>
  <c r="AJ87"/>
  <c r="AK69"/>
  <c r="AJ8"/>
  <c r="AL24"/>
  <c r="AK50"/>
  <c r="AL54"/>
  <c r="AL64"/>
  <c r="AK65"/>
  <c r="AL90"/>
  <c r="AL25"/>
  <c r="AK26"/>
  <c r="AK66"/>
  <c r="AL70"/>
  <c r="AL87"/>
  <c r="AJ88"/>
  <c r="AL92"/>
  <c r="AL98"/>
  <c r="AL99"/>
  <c r="AJ24"/>
  <c r="AK31"/>
  <c r="AK54"/>
  <c r="AL56"/>
  <c r="AK57"/>
  <c r="AL76"/>
  <c r="AL81"/>
  <c r="AL82"/>
  <c r="AJ91"/>
  <c r="AL93"/>
  <c r="AL94"/>
  <c r="AL100"/>
  <c r="AK20"/>
  <c r="AJ103"/>
  <c r="AJ100"/>
  <c r="AL97"/>
  <c r="AL96"/>
  <c r="AJ96"/>
  <c r="AL95"/>
  <c r="AJ95"/>
  <c r="AJ92"/>
  <c r="AL91"/>
  <c r="AK74"/>
  <c r="AL72"/>
  <c r="AK58"/>
  <c r="AJ52"/>
  <c r="AK42"/>
  <c r="AL41"/>
  <c r="AJ40"/>
  <c r="AK38"/>
  <c r="AL32"/>
  <c r="AK22"/>
  <c r="AL22"/>
  <c r="AK11"/>
  <c r="AK10"/>
  <c r="AL89"/>
  <c r="AL88"/>
  <c r="AL84"/>
  <c r="AL83"/>
  <c r="AJ83"/>
  <c r="AL80"/>
  <c r="AJ80"/>
  <c r="AL79"/>
  <c r="AJ79"/>
  <c r="AK78"/>
  <c r="AL78"/>
  <c r="AL77"/>
  <c r="AJ76"/>
  <c r="AL74"/>
  <c r="AK73"/>
  <c r="AL73"/>
  <c r="AJ72"/>
  <c r="AL71"/>
  <c r="AL69"/>
  <c r="AJ63"/>
  <c r="AJ60"/>
  <c r="AJ56"/>
  <c r="AL55"/>
  <c r="AL53"/>
  <c r="AK49"/>
  <c r="AJ48"/>
  <c r="AL48"/>
  <c r="AL47"/>
  <c r="AJ47"/>
  <c r="AK46"/>
  <c r="AL46"/>
  <c r="AK45"/>
  <c r="AL45"/>
  <c r="AK43"/>
  <c r="AJ41"/>
  <c r="AL40"/>
  <c r="AL39"/>
  <c r="AL38"/>
  <c r="AJ37"/>
  <c r="AK35"/>
  <c r="AK34"/>
  <c r="AJ33"/>
  <c r="AL33"/>
  <c r="AJ32"/>
  <c r="AL31"/>
  <c r="AK30"/>
  <c r="AL30"/>
  <c r="AJ29"/>
  <c r="AK27"/>
  <c r="AJ25"/>
  <c r="AL23"/>
  <c r="AJ21"/>
  <c r="AL26"/>
  <c r="AL27"/>
  <c r="AL28"/>
  <c r="AL34"/>
  <c r="AL35"/>
  <c r="AL36"/>
  <c r="AL42"/>
  <c r="AL43"/>
  <c r="AL44"/>
  <c r="AL49"/>
  <c r="AL50"/>
  <c r="AL51"/>
  <c r="AL57"/>
  <c r="AL58"/>
  <c r="AL59"/>
  <c r="AL65"/>
  <c r="AL66"/>
  <c r="AL67"/>
  <c r="AL21"/>
  <c r="AL29"/>
  <c r="AL37"/>
  <c r="AL52"/>
  <c r="AL60"/>
  <c r="AL68"/>
  <c r="AJ28"/>
  <c r="AJ36"/>
  <c r="AJ44"/>
  <c r="AJ51"/>
  <c r="AJ59"/>
  <c r="AJ67"/>
  <c r="AL20"/>
  <c r="AJ20"/>
  <c r="AK19"/>
  <c r="AL19"/>
  <c r="AK18"/>
  <c r="AL18"/>
  <c r="AL17"/>
  <c r="AJ17"/>
  <c r="AK15"/>
  <c r="AL15"/>
  <c r="AK14"/>
  <c r="AL14"/>
  <c r="AL13"/>
  <c r="AL12"/>
  <c r="AJ12"/>
  <c r="AL11"/>
  <c r="AL10"/>
  <c r="AJ10"/>
  <c r="AJ14"/>
  <c r="AJ18"/>
  <c r="AJ22"/>
  <c r="AJ26"/>
  <c r="AJ34"/>
  <c r="AJ42"/>
  <c r="AJ45"/>
  <c r="AJ49"/>
  <c r="AJ53"/>
  <c r="AJ61"/>
  <c r="AJ73"/>
  <c r="AJ77"/>
  <c r="AJ81"/>
  <c r="AJ85"/>
  <c r="AJ93"/>
  <c r="AK9"/>
  <c r="AJ11"/>
  <c r="AK12"/>
  <c r="AJ15"/>
  <c r="AK17"/>
  <c r="AJ19"/>
  <c r="AK21"/>
  <c r="AJ23"/>
  <c r="AK24"/>
  <c r="AK25"/>
  <c r="AJ27"/>
  <c r="AK28"/>
  <c r="AK29"/>
  <c r="AJ31"/>
  <c r="AK32"/>
  <c r="AK33"/>
  <c r="AJ35"/>
  <c r="AK36"/>
  <c r="AK37"/>
  <c r="AJ39"/>
  <c r="AK40"/>
  <c r="AK41"/>
  <c r="AJ43"/>
  <c r="AK44"/>
  <c r="AJ46"/>
  <c r="AK47"/>
  <c r="AK48"/>
  <c r="AJ50"/>
  <c r="AK51"/>
  <c r="AK52"/>
  <c r="AJ54"/>
  <c r="AK55"/>
  <c r="AK56"/>
  <c r="AJ58"/>
  <c r="AK59"/>
  <c r="AK60"/>
  <c r="AJ62"/>
  <c r="AK63"/>
  <c r="AK64"/>
  <c r="AJ66"/>
  <c r="AK67"/>
  <c r="AK68"/>
  <c r="AJ70"/>
  <c r="AK71"/>
  <c r="AK72"/>
  <c r="AJ74"/>
  <c r="AK75"/>
  <c r="AK76"/>
  <c r="AJ78"/>
  <c r="AK79"/>
  <c r="AK80"/>
  <c r="AJ82"/>
  <c r="AK83"/>
  <c r="AK84"/>
  <c r="AJ86"/>
  <c r="AK87"/>
  <c r="AK88"/>
  <c r="AJ90"/>
  <c r="AK91"/>
  <c r="AK92"/>
  <c r="AJ94"/>
  <c r="AK95"/>
  <c r="AK96"/>
  <c r="AJ98"/>
  <c r="AK99"/>
  <c r="AK100"/>
  <c r="AJ102"/>
  <c r="AK103"/>
  <c r="AJ30"/>
  <c r="AJ38"/>
  <c r="AJ57"/>
  <c r="AJ65"/>
  <c r="AJ69"/>
  <c r="AJ97"/>
  <c r="AJ101"/>
  <c r="AL8"/>
  <c r="AK8"/>
  <c r="AJ75" l="1"/>
  <c r="AJ89"/>
  <c r="AJ13"/>
  <c r="AJ16"/>
  <c r="AK16"/>
</calcChain>
</file>

<file path=xl/sharedStrings.xml><?xml version="1.0" encoding="utf-8"?>
<sst xmlns="http://schemas.openxmlformats.org/spreadsheetml/2006/main" count="675" uniqueCount="294">
  <si>
    <t>EMPENHO</t>
  </si>
  <si>
    <t>TIPO</t>
  </si>
  <si>
    <t>ESPECIFICAÇÃO</t>
  </si>
  <si>
    <t>FAVORECIDO</t>
  </si>
  <si>
    <t>CPF/CNPJ</t>
  </si>
  <si>
    <t>VALOR EMPENHADO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</si>
  <si>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</si>
  <si>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</si>
  <si>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</si>
  <si>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</si>
  <si>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</si>
  <si>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</si>
  <si>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</si>
  <si>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</si>
  <si>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</si>
  <si>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</si>
  <si>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</si>
  <si>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</si>
  <si>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ANULAÇÃO</t>
  </si>
  <si>
    <t>REFORÇO</t>
  </si>
  <si>
    <t>TOTAL EMPENHADO</t>
  </si>
  <si>
    <t>TOTAL LIQUIDADO</t>
  </si>
  <si>
    <t>TOTAL PAGO</t>
  </si>
  <si>
    <t>VALOR A PAGAR</t>
  </si>
  <si>
    <t>VALOR A PAGAR LIQUIDADO</t>
  </si>
  <si>
    <t>VALOR A LIQUIDAR</t>
  </si>
  <si>
    <t>ORDINARIO</t>
  </si>
  <si>
    <t>ESTIMATIVO</t>
  </si>
  <si>
    <t>SERVICO DE TRATAMENTO E FORNECIMENTO DE AGUA - DO TIPO FORNECIMENTO DE AGUA TRATADA</t>
  </si>
  <si>
    <t>COMPANHIA DE SANEAMENTO DE SERGIPE</t>
  </si>
  <si>
    <t>13.018.171/0001-90</t>
  </si>
  <si>
    <t>STEFANINI CONSULTORIA E ASSESSORIA EM INFORMATICA S.A.</t>
  </si>
  <si>
    <t>58.069.360/0001-20</t>
  </si>
  <si>
    <t>SERVICO DE FORNECIMENTO DE PASSAGEM - AEREA, NACIONAL E INTERNACIONAL, COM TAXA DE EMBARQUE</t>
  </si>
  <si>
    <t>PROPAG TURISMO LTDA-EPP</t>
  </si>
  <si>
    <t>13.353.495/0001-84</t>
  </si>
  <si>
    <t>SERVICO DE PROPAGANDA E PUBLICIDADE - DO TIPO ATOS OFICIAIS DA ADMINISTRACAO PUBLICA, POR MEIO DO DIARIO OFICIAL</t>
  </si>
  <si>
    <t>SERVICOS GRAFICOS DE SERGIPE</t>
  </si>
  <si>
    <t>13.085.519/0001-61</t>
  </si>
  <si>
    <t>SERVICO DE DIGITALIZACAO - DO TIPO SCANEAMENTO DE DOCUMENTOS E CAPTURA EM ARQUIVO DO TIPO PDF,SEM IMPRESSAO</t>
  </si>
  <si>
    <t>COMPETENCIA SERVICOS E APOIO ADM LTDA</t>
  </si>
  <si>
    <t>15.833.623/0001-12</t>
  </si>
  <si>
    <t>LABORAR RECURSOS HUMANOS LTDA ME</t>
  </si>
  <si>
    <t>15.787.759/0001-33</t>
  </si>
  <si>
    <t>JETONS - SERVIDORES</t>
  </si>
  <si>
    <t>PESSOAL RELACIONADO EM FOLHA DE PAGAMENTO</t>
  </si>
  <si>
    <t>PESSOA FISICA RELACIONADA EM LISTA</t>
  </si>
  <si>
    <t>FOLHA DE PAGAMENTO - AUXÍLIO TRANSPORTE</t>
  </si>
  <si>
    <t>SERVIDORES RELACIONADOS EM LISTA</t>
  </si>
  <si>
    <t>DIÁRIAS DENTRO DO ESTADO - CIVIL</t>
  </si>
  <si>
    <t>FOLHA DE PAGAMENTO - OUTRAS DESPESAS VARIÁVEIS - PESSOAL CIVIL</t>
  </si>
  <si>
    <t>CAIXA ECONOMICA FEDERAL</t>
  </si>
  <si>
    <t>00.360.305/0001-04</t>
  </si>
  <si>
    <t>SERVICO DE ABASTECIMENTO DE VEICULOS - TAXA DE ADMINISTRACAO DE CARTAO MAGNETICO DE CREDITO DE COMBUSTIVEIS</t>
  </si>
  <si>
    <t>TRIVALE ADMINISTRACAO LTDA</t>
  </si>
  <si>
    <t>SERVICO DE LIGACAO E FORNECIMENTO DE AGUA E ENERGIA ELETRICA - DO TIPO FORNECIMENTO DE ENERGIA ELETRICA</t>
  </si>
  <si>
    <t>ENERGISA SERGIPE-DISTRIBUIDORA DE ENERGIA S.A</t>
  </si>
  <si>
    <t>13.017.462/0001-63</t>
  </si>
  <si>
    <t>IPES SAUDE EMPREGADOR - PESSOAL CIVIL</t>
  </si>
  <si>
    <t>INSTITUTO NACIONAL DE SEGURO SOCIAL</t>
  </si>
  <si>
    <t>29.979.036/0416-88</t>
  </si>
  <si>
    <t>INSTITUTO NACIONAL DE SEGURO SOCIAL - INSS</t>
  </si>
  <si>
    <t>PASEP - RESSARCIMENTO DE CONTRIBUICAO</t>
  </si>
  <si>
    <t>BANCO DO BRASIL S/A</t>
  </si>
  <si>
    <t>00.000.000/0017-59</t>
  </si>
  <si>
    <t>FINANPREV - OBRIGAÇÃO PATRONAL SERVIDOR ATIVO CIVIL</t>
  </si>
  <si>
    <t>FUNDO DE GARANTIA POR TEMPO DE SERVICO - FGTS</t>
  </si>
  <si>
    <t>PESSOAL REQUISITADO DE OUTROS ENTES</t>
  </si>
  <si>
    <t>FUNDACAO UNIVERSIDADE FEDERAL DE SERGIPE</t>
  </si>
  <si>
    <t>13.031.547/0001-04</t>
  </si>
  <si>
    <t>EMPRESA BRASILEIRA DE CORREIOS E TELEGRAFOS</t>
  </si>
  <si>
    <t>34.028.316/0032-00</t>
  </si>
  <si>
    <t>FOLHA DE PAGAMENTO - OUTROS BENEFÍCIOS ASSISTENCIAIS</t>
  </si>
  <si>
    <t>FOLHA DE PAGAMENTO - VENCIMENTOS E VANTAGENS FIXAS - PESSOAL CIVIL</t>
  </si>
  <si>
    <t>LIQUIDAÇÃO</t>
  </si>
  <si>
    <t>PAGAMENTO</t>
  </si>
  <si>
    <t>LUIZ MELO &amp; CIA LTDA-ME</t>
  </si>
  <si>
    <t>00.299.160/0001-83</t>
  </si>
  <si>
    <t>SERVICO DE CAPACITACAO DE PESSOAL - ESPECIALIZACAO</t>
  </si>
  <si>
    <t>OBRIGACOES TRIBUTARIAS E CONTRIBUTIVAS NAO PARCELADAS</t>
  </si>
  <si>
    <t>TELEMAR NORTE LESTE S/A</t>
  </si>
  <si>
    <t>33.000.118/0001-79</t>
  </si>
  <si>
    <t>05.423.963/0001-11</t>
  </si>
  <si>
    <t>FINANPREV</t>
  </si>
  <si>
    <t>MULTA SOBRE OBRIGACOES PATRONAIS</t>
  </si>
  <si>
    <t>JUROS SOBRE OBRIGACOES PATRONAIS</t>
  </si>
  <si>
    <t>16.670.085/0001-55</t>
  </si>
  <si>
    <t xml:space="preserve">ORDINARIO </t>
  </si>
  <si>
    <t>OI MOVEL S.A.</t>
  </si>
  <si>
    <t>A.F. COMERCIO DE LIVROS E CURSOS ESPECIALIZADOS LTDA</t>
  </si>
  <si>
    <t>06.336.797/0001-89</t>
  </si>
  <si>
    <t>IPESAUDE</t>
  </si>
  <si>
    <t>AUXÍLIO - TRANSPORTE ESTAGIÁRIOS</t>
  </si>
  <si>
    <t>BOLSA VINCULADA A PROGRAMA DE GOVERNO E ESTAGIÁRIOS.</t>
  </si>
  <si>
    <t>DIÁRIAS FORA DO ESTADO / NO PAÍS</t>
  </si>
  <si>
    <t>RESSARCIMENTO DE DESPESAS DE PESSOAL</t>
  </si>
  <si>
    <t>INDENIZAÇÃO DE RECESSO ESTAGIÁRIO</t>
  </si>
  <si>
    <t>CARLOS HENRIQUE SOBRAL LOPES</t>
  </si>
  <si>
    <t>054.065.295-44</t>
  </si>
  <si>
    <t>RODRIGO OLIVEIRA ALVES</t>
  </si>
  <si>
    <t>033.506.255-50</t>
  </si>
  <si>
    <t>KAROLINE DANTAS RIBEIRO</t>
  </si>
  <si>
    <t>441.929.878-21</t>
  </si>
  <si>
    <t>LOCALIZA RENT A CAR S/A</t>
  </si>
  <si>
    <t xml:space="preserve">ESTIMATIVO </t>
  </si>
  <si>
    <t>SERVICO DE LOCACAO DE EQUIPAMENTOS DE INFORMATICA - IMPRESSORA LASER,COM MANUTENÇÃO PREVENTIVA E CORRETIVA - LOTE 2, CONFORME PROJETO BÁSICO</t>
  </si>
  <si>
    <t>00.604.122/0001-97</t>
  </si>
  <si>
    <t>CARLA VANESSA MONTEIRO SANTOS BARRETO</t>
  </si>
  <si>
    <t>584.934.415-20</t>
  </si>
  <si>
    <t>SERVICOS DE TERCEIROS PESSOA FISICA</t>
  </si>
  <si>
    <t>SERGIO DE SOUZA LOPES</t>
  </si>
  <si>
    <t>068.558.495-04</t>
  </si>
  <si>
    <t>VALERIA CECILIA CARNEIRO DE ALMEIDA</t>
  </si>
  <si>
    <t>733.611.357-53</t>
  </si>
  <si>
    <t>INDENIZACOES TRABALHISTAS</t>
  </si>
  <si>
    <t>YARA MARIA CARNEIRO MORAIS ROLEMBERG</t>
  </si>
  <si>
    <t>267.257.465-00</t>
  </si>
  <si>
    <t>GRATIFICAÇÃO NATALINA</t>
  </si>
  <si>
    <t>CONCEITO COMUNICACAO INTEGRADA LTDA - EPP</t>
  </si>
  <si>
    <t>00.404.419/0001-09</t>
  </si>
  <si>
    <t>LOCALYNE TRANSPORTE TURISMO LTDA ME</t>
  </si>
  <si>
    <t>03.551.401/0001-28</t>
  </si>
  <si>
    <t>SERVICO DE ASSESSORIA NA AREA ADMINISTRATIVA - CONTRATAÇÃO DE SERVIÇO PARA INCLUSÃO/ACERTO NO CADMUT. - SERVICO DE ASSESSORIA NA AREA ADMINISTRATIVA - CONTRATAÇÃO DE EMPRESA PARA O SERVIÇO DE HABILITAÇÃO DE CRÉDITOS PERANTE O FCVS. - SERVICO DE ASSESSORIA NA AREA ADMINISTRATIVA - CONTRATAÇÃO DE EMPRESA PARA O SERVIÇO DE HOMOLOGAÇÃO/VALIDAÇÃO DE CRÉDITOS PERANTE O FCVS. - SERVICO DE ASSESSORIA NA AREA ADMINISTRATIVA - CONTRATAÇÃO DE EMPRESA PARA O SERVIÇO DE NOVAÇÃO DE CRÉDITOS PERANTE O FCVS.</t>
  </si>
  <si>
    <t>AD &amp; T AMINISTRACAO DE DADOS E TECNOLOGIA LTDA EPP</t>
  </si>
  <si>
    <t>02.962.795/0001-44</t>
  </si>
  <si>
    <t>MATERIAIS E SERVICOES</t>
  </si>
  <si>
    <t>JARBAS OLIVEIRA GONCALVES</t>
  </si>
  <si>
    <t>045.005.855-75</t>
  </si>
  <si>
    <t>NORDESTE GAS LTDA - ME</t>
  </si>
  <si>
    <t>27.023.064/0001-64</t>
  </si>
  <si>
    <t>LIVRARIA E PAPELARIA PRATICA LTDA ME</t>
  </si>
  <si>
    <t>19.197.721/0001-61</t>
  </si>
  <si>
    <t>PRESTACAO DE MAO-DE-OBRA - CONTRATACAO CENTRALIZADA DE SERVICO DE VIGILANCIA PATRIMONIAL PARA ATENDER AS NECESSIDADES DOS ORGAOS E ENTIDADES DO ESTADO DE SERGIPE NOS SEGUINTES POSTOS:,POSTO DE VIGILANCIA ARMADA: 12H E 24H X SEG/DOM E POSTO DE VIGILANCIA DESARMADA: 12H DE SEG A DOM. CONFORME EDITAL</t>
  </si>
  <si>
    <t>SACEL-SERVICO DE VIGILANCIA E TRANSPORTE DE VALORES LTDA</t>
  </si>
  <si>
    <t>16.207.888/0001-78</t>
  </si>
  <si>
    <t>SERVIÇOS DE TERCEIROS - PESSOA FÍSICA</t>
  </si>
  <si>
    <t>SERVICO DE LOCACAO DE ONIBUS - LOCAÇÃO DE VEÍCULOS AUTOMOTORES, TIPO MICRO-ÔNIBUS. COM MOTORISTA,PADRÃO TURISMO, PARA REALIZAR VIAGENS INTERESTADUAIS, MOTORIZAÇÃO MÍNIMA DE 140 (CENTO E QUARENTA) CAVALOS, COM POLTRONAS RECLINÁVEIS, COM CD/DVD E 01 (UM) MONITOR, 01(UM) WC.,CAPACIDADE MÍNIMA PARA 25 (VINTE E CINCO) PASSAGEIROS,COM AR CONDICIONADO,COM MANUTENCÃO PREVENTIVA E CORRETIVA E DEMAIS DESPESAS RELATIVAS A TROCA DE ÓLEO, LUBRIFICANTES, SUPRIMENTOS E LAVAGEM DO VEÍCULO.</t>
  </si>
  <si>
    <t>ALIANCA TRANSPORTE DE PASSAGEIROS E TURISMO LTDA</t>
  </si>
  <si>
    <t>02.367.108/0001-42</t>
  </si>
  <si>
    <t xml:space="preserve">  OUTROS SERVIÇOS DE TERCEIROS - PESSOA JURÍDICA</t>
  </si>
  <si>
    <t>EDVON DE ARAUJO RODRIGUES</t>
  </si>
  <si>
    <t>34.604.253/0001-96</t>
  </si>
  <si>
    <t>AGENDA ASSESSORIA,PLANEJAMENTO E INFORMATICA LTDA</t>
  </si>
  <si>
    <t>00.059.307/0001-68</t>
  </si>
  <si>
    <t>SERVICO DE ENTREGA DE DOCUMENTOS - SERVICO DE ENTREGA DE DOCUMENTOS - SERVICOS DE ENTREGA E COLETA RÁPIDA DE CORREPONDENCIAS E PEQUENAS ENCOMENDAS POR MEIO DE MOTOCICLETA COM MOTOBOY,,EM ARACAJU IDA E VOLTA</t>
  </si>
  <si>
    <t>EXCELENCIA SERVICOS DIVERSOS LTDA ME</t>
  </si>
  <si>
    <t>22.626.080/0001-28</t>
  </si>
  <si>
    <t>VEICULO PASSEIO - TIPO POPULAR HATCH, NO MINIMO 1.0 ZERO KM, SEM MOTORISTA,MOVIDO A GASOLINA E/OU FLEX, NA COR BRANCA OU CINZA COM CAPACIDADE MINIMA PARA 05 PASSAGEIROS COM 04 PORTAS MAIS PORTA MALAS,ACESSÓRIOS; PELÍCULA NOS VIDRO LATERAIS E TRASEIRO, RADIO COM CD PLAYER, AIRBAG DUPLO, DIRECAO HIDRAULICA, FREIOS ABS, AR CONDICIONADOS. - MARCA: VW</t>
  </si>
  <si>
    <t>HENRIQUE &amp; MARQUES LOCADORALTDA - EPP</t>
  </si>
  <si>
    <t>06.942.421/0001-18</t>
  </si>
  <si>
    <t>SERVICO DE LOCACAO DE IMOVEL PARA ORGAO PUBLICO - DO TIPO PREDIO COMERCIAL,LOCALIZADO NO BAIRRO SAO JOSE - ARACAJU</t>
  </si>
  <si>
    <t>CAMPOS ANDRADE IMOVEIS LTDA</t>
  </si>
  <si>
    <t>03.293.789/0001-04</t>
  </si>
  <si>
    <t>SERVICOS DE TERCEIROS PESSOA JURIDICA</t>
  </si>
  <si>
    <t>SIDJA SILVEIRA COSTA</t>
  </si>
  <si>
    <t>365.714.905-87</t>
  </si>
  <si>
    <t>SERVICO DE ASSINATURA DE JORNAIS E PERIODICOS - COMPRA DE CREDITOS DE DOWNLOAD DO DIARIO OFICIAL ON LINE</t>
  </si>
  <si>
    <t>SERVICO DE LOCACAO DE SOFTWARE - CONTRATAÇÃO DE SERVIÇOS ESPECIALIZADOS EM PROCESSAMENTO DE DADOS PARA LOCAÇÃO DO SISTEMA DE GESTÃO DA CARTEIRA IMOBILIÁRIA DO SISTEMA FINANCEIRO DE HABITAÇÃO – SFH, PARA ATENDER AS NECESSIDADES DO SERGIPEPREVIDÊNCIA,,COM ATUALIZAÇÃO.</t>
  </si>
  <si>
    <t>ELOGICA PROCESSAMENTO DE DADOS LTDA</t>
  </si>
  <si>
    <t>11.376.753/0001-12</t>
  </si>
  <si>
    <t>POLO-IT INFORMACAO E TECNOLOGIA -EPP</t>
  </si>
  <si>
    <t>02.131.834/0001-61</t>
  </si>
  <si>
    <t>OUTRAS INDENIZACOES E RESTITUICOES</t>
  </si>
  <si>
    <t>ANA VITORIA MORAES MARTINS</t>
  </si>
  <si>
    <t>077.361.075-80</t>
  </si>
  <si>
    <t>LOREDANE ALVES DA SILVA</t>
  </si>
  <si>
    <t>068.457.475-63</t>
  </si>
  <si>
    <t>R. CLEAN COMERCIAL EIRELI - ME</t>
  </si>
  <si>
    <t>26.728.117/0001-80</t>
  </si>
  <si>
    <t>F&amp;E COMERCIO DE FERRAGENS LTDA ME</t>
  </si>
  <si>
    <t>24.919.593/0001-52</t>
  </si>
  <si>
    <t>SERVICO DE ASSESSORIA NA AREA ADMINISTRATIVA - CONTRATAÇÃO DE EMPRESA ESPECIALIZADA PARA A PRESTAÇÃO DE SERVIÇOS TÉCNICOS ESPECIALIZADOS NA ASSESSORIA TÉCNICA E OPERACIONAL EM PROCESSOS DE APOSENTADORIA E PENSÕES PARA EFEITO DE ENCONTRO DE CONTAS ENTRE OS REGIMES DE ORIGEM- RO E INSTITUIDOR – RI E RESGATE DE CRÉDITO FINANCEIRO, DE ACORDO COM A LEI Nº 9.796/99, LEI 9.717/98, DECRETO Nº 3.112/99, PORTARIA/MPAS Nº 6.209/99.</t>
  </si>
  <si>
    <t>FRAGA E MORAIS ADVOGADOS ASSOCIADOS S/C</t>
  </si>
  <si>
    <t>08.805.883/0001-19</t>
  </si>
  <si>
    <t>SERVICO DE CONSULTORIA NA AREA ADMINISTRATIVA - CONTRATAÇÃO DE EMPRESA PARA PRESTAR SERVIÇOS AO INSTITUTO DE PREVIDÊNCIA DOS SERVIDORES DO ESTADO DE SERGIPE – RPPS/SE NA REALIZAÇÃO CENSO PREVIDENCIÁRIO PARA APRIMORAMENTO DA GESTÃO PREVIDENCIÁRIA DE DADOS CADASTRAIS, FUNCIONAIS E FINANCEIROS DOS SERVIDORES PÚBLICOS ESTADUAIS ATIVOS, INATIVOS, PENSIONISTAS VINCULADOS AO REGIME PRÓPRIO SOCIAL DOS SERVIDORES PÚBLICOS DO ESTADO DE SERGIPE – RPPS/SE POR MEIO DE UM RECADASTRAMENTO, CONFORME TERMO DE REFERÊNCIA.</t>
  </si>
  <si>
    <t xml:space="preserve">
</t>
  </si>
  <si>
    <t>SERVICO DE ACESSO E UTILIZACAO</t>
  </si>
  <si>
    <t>PASSAGENS E DESPESAS COM LOCOMOCAO</t>
  </si>
  <si>
    <t>MEGA COMERCIAL EAMBIENTAL</t>
  </si>
  <si>
    <t>20.165.964/0001-05</t>
  </si>
  <si>
    <t>SERVICO DE TELEFONIA MOVEL</t>
  </si>
  <si>
    <t>LUCENIA SANTOS DE ARAUJO</t>
  </si>
  <si>
    <t>057.113.265-03</t>
  </si>
  <si>
    <t>EMILLY BASTOS PEREIRA SANTOS</t>
  </si>
  <si>
    <t>076.240.245-86</t>
  </si>
  <si>
    <t>ANBIMA</t>
  </si>
  <si>
    <t>34.271.171/0007-62</t>
  </si>
  <si>
    <t>RAYSSA LUANA SANTOS FLORENCIO</t>
  </si>
  <si>
    <t>076.920.545-33</t>
  </si>
  <si>
    <t>MARLON SILVA SOARES</t>
  </si>
  <si>
    <t>049.458.115-80</t>
  </si>
  <si>
    <t>AKBAR COMERCIO EXPORTACAO E IMPORTACAO LTDA -EPP</t>
  </si>
  <si>
    <t>04.279.374/0001-49</t>
  </si>
  <si>
    <t>FOLHA DE PAGAMENTO - SERVIÇOS DE TERCEIRO PESSOA FÍSICA</t>
  </si>
  <si>
    <t>PATRONAL PERÍCIA MÉDICA REF. 12/2019</t>
  </si>
  <si>
    <t>FUJI TAXI</t>
  </si>
  <si>
    <t>02.242.714/0001-31</t>
  </si>
  <si>
    <t>AEREOTUR VIAGENS E OPERACOES TURISTICAS LTDA</t>
  </si>
  <si>
    <t>04.864.703/0001-19</t>
  </si>
  <si>
    <t>MARILIA SANTOS SOARES</t>
  </si>
  <si>
    <t>046.376.285-12</t>
  </si>
  <si>
    <t>JESSICA MARIA MENEZES DE JESUS</t>
  </si>
  <si>
    <t>063.696.745-08</t>
  </si>
  <si>
    <t>SERVICO DE TELEFONIA MOVEL - CONTRATAÇÃO DE SERVIÇOS TÉCNICOS ESPECIALIZADOS DE IMPLANTAÇÃO, OPERACIONALIZAÇÃO E MANUTENÇÃO DE UMA SOLUÇÃO DE TELEFONIA MÓVEL.</t>
  </si>
  <si>
    <t>TIM S.A.</t>
  </si>
  <si>
    <t>02.421.421/0001-11</t>
  </si>
  <si>
    <t>SERVIÇO TELEFÔNICO FIXO - PRESTAÇÃO DOS SERVIÇOS DE TELEFONIA FIXA COMUTADA (STFC), CONFORME TR, TELEMAR NORTE LESTE S/A.</t>
  </si>
  <si>
    <t>AMANDA DE MOURA SILVA</t>
  </si>
  <si>
    <t>055.468.625-21</t>
  </si>
  <si>
    <t>HELDER GOMES DOS MARTIRES</t>
  </si>
  <si>
    <t>067.462.965-55</t>
  </si>
  <si>
    <t>DANIEL SANTOS DA SILVA</t>
  </si>
  <si>
    <t>049.162.775-03</t>
  </si>
  <si>
    <t>13º SALÁRIO PESSOAL VINCULADO AO RGPS (INSS)</t>
  </si>
  <si>
    <t xml:space="preserve">SERVICO DE ASSESSORIA NA AREA ADMINISTRATIVA </t>
  </si>
  <si>
    <t>SERVE SEGURANCA E TRANSPORTE DE VALORES LTDA</t>
  </si>
  <si>
    <t>11.179.264/0013-04</t>
  </si>
  <si>
    <t>LIDER NITEBOOOKS COMERCIO E SERVICOS LTDA</t>
  </si>
  <si>
    <t>MICROCOMPUTADOR - DESKTOP,PROCESSADOR 7800 PONTOS OU SUPERIOR,CLOCK 3,60 GHZ,MEMÓRIA RAM DDR4, 2.400 MHZ,DE 8 GB SUPORTE ATÉ 64 GB,MEMÓRIA CACHE SUPORTE ATÉ 64 GB,CONTROLADORA DE DISCO PADRAO IDE - PLACA MAE ON-BOARD SATA III OU SUPERIOR,COM 1 HD,500 GB COM 7200 RPM,PADRÃO SATA-3,BARRAMENTO DA CONTROLADORA DE VIDEO PADRAO PCI,CONTROLADORA DE VIDEO PADRAO AGP,DE 64 MB,TECLADO USB ABNT2 PORTUGUÊS,DVD,ÁUDIO DE ALTA DEFINIÇÃO,MONITOR LED 19.5 POLEGADAS OU SUPERIOR,RESOLUCAO GRAFICA DE 1600 X 900 DPI,MOUSE USB DOTADO DE 3 BOTÕES (UM BOTÃO SCROLL),PLACA DE REDE 10/100/1000 MBPS,GABINETE TORRE ATX,EMBALAGEM COM PROTECAO APROPRIADA,WINDOWS,GARANTIA MÍNIMA 12 MESES,COM CABOS,CONECTORES,MANUAIS TECNICOS,DRIVERS,ETC. - MARCA: LENOVO</t>
  </si>
  <si>
    <t>12.477.490/0002-81</t>
  </si>
  <si>
    <t>SERVICO DE SEGURO - CONTRA ACIDENTES PESSOAIS EM GRUPO</t>
  </si>
  <si>
    <t>LIBERTY SEGUROS S/A</t>
  </si>
  <si>
    <t>61.550.141/0001-72</t>
  </si>
  <si>
    <t>SISTEMA DE MONITORAMENTO - MONITORAMENTO DE INSTANCIA DE PRODUÇÃO SQL SEVER (24X7), PELO PERÍODO DE 12 MESES.</t>
  </si>
  <si>
    <t>SLA PROPAGANDA LTDA</t>
  </si>
  <si>
    <t>40.583.726/0001-19</t>
  </si>
  <si>
    <t>SERVICO DE LOCACAO DE VEICULOS - VEÍCULO TIPO SEDAN, ZERO QUILÔMETRO.,REGIME DE FRETAMENTO CONTÍNUO, PARA TRANSPORTE DE PASSAGEIROS.,04 (QUATRO) PORTAS MAIS PORTA-MALAS.,CAPACIDADE MÍNIMA PARA 05 (CINCO) PESSOAS.,COR BRANCA, PRATA OU CINZA, AR CONDICIONADO, DIREÇÃO HIDRÁULICA OU ELÉTRICA, VIDROS ELÉTRICOS NAS PORTAS DIANTEIRAS, PELÍCULA NOS VIDROS LATERAIS E TRASEIRO, RÁDIO COM USB, AIRBAGS DUPLO, FREIO A DISCO NAS 04 RODAS.,NO MÍNIMO 1.6.,POTÊNCIA MÍNIMA DE 115 CV,GASOLINA E/OU FLEX.,DISTÂNCIA MÍNIMA ENTRE EIXOS DE 2,52MM.,TANQUE DE COMBUSTÍVEL NÃO INFERIOR A 45 LITROS,SEM MOTORISTA,COM MANUTENÇÃO CORRETIVA E PREVENTIVA.</t>
  </si>
  <si>
    <t>SERVIÇO DE TECNOLOGIA DA INFORMAÇÃO E COMUNICAÇÃO - TIC PARA ATENDER AS NECESSIDADES DOS ORGAOS E ENTIDADES DO PODER EXECUTIVO DO ESTADO DE SERGIPE</t>
  </si>
  <si>
    <t>SERVICO DE DISTRIBUICAO DE GAS</t>
  </si>
  <si>
    <t>COPO DESCARTAVEL - EM POLIPROPILENO,PARA LIQUIDOS,CAPACIDADE 80 ML,ACONDICIONADO EM EMBALAGEM COM 5.000 COPOS, EMBALADAS EM TIRAS PLASTICAS COM 100 UNIDADES. - MARCA: MINASPLAST</t>
  </si>
  <si>
    <t>SERVICO DE VIGILANCIA DESARMADA - POSTO DE VIGILÂNCIA 12H DIURNA,TODOS OS DIAS EM TURNO DE 12X36 - LOTE 3</t>
  </si>
  <si>
    <t>RELAÇÃO DE EMPENHOS 2020</t>
  </si>
  <si>
    <t>OI - TELEMAR NORTE LESTE S/A</t>
  </si>
  <si>
    <t>INDENIZAÇÃO DE FÉRIAS.</t>
  </si>
  <si>
    <t>GISELLE CORREA RIBEIRO</t>
  </si>
  <si>
    <t>010.325.635-08</t>
  </si>
  <si>
    <t>INDENIZAÇÃO NATALINA.</t>
  </si>
  <si>
    <t>MATERIAIS E SERVICOES - DECRETO ESTADUAL Nº 23.312 DE 2005</t>
  </si>
  <si>
    <t>SUPRIMENTO INDIVIDUAL - ITEM GENÉRICO</t>
  </si>
  <si>
    <t>LUENE DAS CHAGAS SANTOS</t>
  </si>
  <si>
    <t>057.830.955-67</t>
  </si>
  <si>
    <t>MEU GAS COMERCIAL LTDA - EPP</t>
  </si>
  <si>
    <t>13.053.967/0001-83</t>
  </si>
  <si>
    <t>SERVICO DE SUPORTE - AO USUARIO, SUPORTE A REDES DE COMPUTADORES,COM MANUTENCAO PREVENTIVA E CORRETIVA EM EQUIPAMENTOS DE INFORMATICA</t>
  </si>
  <si>
    <t>GE INFORMATICA LTDA.</t>
  </si>
  <si>
    <t>00.602.985/0001-25</t>
  </si>
  <si>
    <t>TAUANY SANTOS SANTANA</t>
  </si>
  <si>
    <t>071.274.495-97</t>
  </si>
  <si>
    <t>SERVICO DE DISTRIBUICAO DE GAS - DO TIPO GAS LIQUEFEITO DE PETROLEO (GLP), BOTIJOÕES DE 13 KG,SEM INSTALACAO, FORNECIMENTO DE TICKETS VALE-GÁS., SEM MANUTENÇÃO</t>
  </si>
  <si>
    <t>OUTROS SERVIÇOS DE TERCEIROS - PESSOA JURÍDICA</t>
  </si>
  <si>
    <t>SERVICO DE LOCACAO EM EQUIPAMENTOS DE COMUNICACAO - CENTRAL TELEFÔNICA CPE SOLUTION VOZ - TIPO C, COM MANUTENÇÃO PREVENTIVA E CORRETIVA.</t>
  </si>
  <si>
    <t>AGUA MINERAL - NATURAL, SEM GAS, HIPOTERMAL NA FONTE, ACONDICIONADA EM GARRAFAO PLASTICO RETORNAVEL, COM TAMPA DE PRESSAO, LACRE E SELO DE SEGURANCA APEVISA,CONTENDO DE 19,5 A 20 LITROS, ACONDICIONADA EM GARRAFAO DE POLIPROPILENO VIRGEM TRANSPARENTE, DE ACORDO COM AS LEGISLACOES ESPECIFICAS E AS PORTARIAS 518/04 DO MINISTERIO DA SAUDE 387/08 DNPM E RDC ANVISA Nº 274/05 E 275/05 - MARCA: SANTA CECILIA</t>
  </si>
  <si>
    <t>SERVICO DE PROPAGANDA E PUBLICIDADE - CONTRATAÇÃO CENTRALIZADA DE AGÊNCIA DE PUBLICIDADE E PROPAGANDA, OBJETIVANDO VEICULAR A DIVULGAÇÃO DE PUBLICIDADE LEGAL DOS ÓRGÃOS E ENTIDADES DA ADMINISTRAÇÃO DIRETA E INDIRETA DO PODER EXECUTIVO ESTADUAL., JORNAIS DE GRANDE CIRCULAÇÃO LOCAL E NACIONAL.</t>
  </si>
  <si>
    <t>SERVICO DE PUBLICIDADE INSTITUCIONAL</t>
  </si>
  <si>
    <t>OBJECTIVA COMUNICACAO LTDA</t>
  </si>
  <si>
    <t>34.001.487/0002-20</t>
  </si>
  <si>
    <t>TEASER COMUNICACAO E MARKETING LTDA</t>
  </si>
  <si>
    <t>09.381.167/0001-14</t>
  </si>
  <si>
    <t>CONCEITO COMUNICACAO INTEGRADA</t>
  </si>
  <si>
    <t>FORRO - EM PV</t>
  </si>
  <si>
    <t>ALBERTO DO MONTE ANDRADE-ME</t>
  </si>
  <si>
    <t>15.291.555/0001-07</t>
  </si>
  <si>
    <t>PATRICIA SANTA BARBARA DOS SANTOS</t>
  </si>
  <si>
    <t>712.689.955-68</t>
  </si>
  <si>
    <t>INDENIZAÇÃO DE FÉRIAS</t>
  </si>
  <si>
    <t>LOJAO JALUZI</t>
  </si>
  <si>
    <t>COMPRA DE AGUA MINERAL</t>
  </si>
  <si>
    <t>VENCIMENTOS E SALÁRIOS PESSOAL CIVIL</t>
  </si>
  <si>
    <t>ANTONIO HENRIQUE DOS SANTOS</t>
  </si>
  <si>
    <t>693.426.525-49</t>
  </si>
  <si>
    <t xml:space="preserve">MATERIAL </t>
  </si>
  <si>
    <t>L&amp;L INFORMARTICA</t>
  </si>
  <si>
    <t>23.689.733/0001-80</t>
  </si>
  <si>
    <t>EDVANIA SANTOS SILVA</t>
  </si>
  <si>
    <t>375.882.815-53</t>
  </si>
  <si>
    <t>JORGE ALEXANDRE DE JESUS DE PAULA</t>
  </si>
  <si>
    <t>031.982.695-39</t>
  </si>
  <si>
    <t>NICOLLE FIRMO COSTA SANTOS SILVA</t>
  </si>
  <si>
    <t>061.796.505-60</t>
  </si>
  <si>
    <t>SERVICO DE PROPAGANDA E PUBLICIDADE - CONTRATAÇÃO CENTRALIZADA DE AGÊNCIA DE PUBLICIDADE E PROPAGANDA, OBJETIVANDO VEICULAR A DIVULGAÇÃO DE PUBLICIDADE LEGAL DOS ÓRGÃOS E ENTIDADES DA ADMINISTRAÇÃO DIRETA E INDIRETA DO PODER EXECUTIVO ESTADUAL, JORNAIS DE GRANDE CIRCULAÇÃO LOCAL E NACIONAL.</t>
  </si>
  <si>
    <t>BLOCO PARA RECADO AUTOADESIVO - EM PAPEL OFFSET, MEDINDO 38,00 X 50,00MM, NA COR AMARELA - MARCA: BRW - TINTA - PARA CARIMBO, A BASE DE AGUA, SEM OLEO, AZUL - MARCA: JAPAN</t>
  </si>
  <si>
    <t>SERVICO DE DISTRIBUICAO DE GAS - DO TIPO GAS LIQUEFEITO DE PETROLEO (GLP), BOTIJOÕES DE 13 KG,SEM INSTALACAO, FORNECIMENTO DE TICKETS VALE-GÁS, SEM MANUTENÇÃO</t>
  </si>
  <si>
    <t>656, 39</t>
  </si>
  <si>
    <t>736, 39</t>
  </si>
  <si>
    <t>CONTRIBUIÇÕES PREVIDENCIÁRIAS S/SERV. TERCEIROS - PESSOA FÍSICA</t>
  </si>
  <si>
    <t>SERVICO DE TELEFONIA MOVEL - SERVIÇO TELEFÔNICO MÓVEL PESSOAL - SMP (MÓVEL-MÓVEL E MÓVEL-FIXO), NAS MODALIDADES LOCAL E LONGA DISTÂNCIA NACIONAL (LDN), CONFORME CONDIÇÕES E ESPECIFICAÇÕES CONSTANTES NO TERMO DE REFERÊNCIA - OI MÓVEL S/A</t>
  </si>
  <si>
    <t>SERVICO DE ACESSO E UTILIZACAO - SERVIÇO TELEFÔNICO FIXO NAS MODALIDADES LOCAL, LONGA DISTÂNCIA NACIONAL (LDN) E PRESTAÇÃO DOS SERVIÇOS DE TELEFONIA FIXA COMUTADA (STFC), CONFORME CONDIÇÕES E ESPECIFICAÇÕES CONSTANTES NO TERMO DE REFERÊNCIA - TELEMAR NORTE LESTE S/A.</t>
  </si>
  <si>
    <t>SERVICO DE ENTREGA DE DOCUMENTOS - SERVIÇOS POSTAIS PARA ENVIO E ENTREGA DE CORRESPONDÊNCIAS E TRANSPORTE DE MATERIAL, INCLUINDO CARTA, SEDEX, CARTA REGISTRADA COM AVISO DE RECEBIMENTO, TELEGRAMA E REMESSA EXPRESSA DE MERCADORIAS, NACIONAL E INTERNACIONAL</t>
  </si>
  <si>
    <t>SERVICO DE LIMPEZA E CONSERVACAO PREDIAL - JORNADA DE 40 HORAS SEMANAIS, SEGUNDA A SEXTA, DIURNO, SEM SUPERVISOR, SEM INSALUBRIDADE, SEM PERICULOSIDADE, AREA TIPO INTERNA EM GERAL</t>
  </si>
  <si>
    <t>SERVICO DE LOCACAO DE EQUIPAMENTOS DE INFORMATICA - IMPRESSORA LASER, COM MANUTENÇÃO PREVENTIVA E CORRETIVA - LOTE 4, CONFORME PROJETO BÁSICO.</t>
  </si>
  <si>
    <t>SERVICO DE LOCACAO DE VEICULOS - DO TIPO HATCH, MODELO ECONÔMICO, ZERO QUILÔMETRO, REGIME DE FRETAMENTO CONTÍNUO, PARA TRANSPORTE DE PASSAGEIROS, 04 (QUATRO) PORTAS MAIS PORTA-MALAS, CAPACIDADE MÍNIMA PARA 05 (CINCO) PESSOAS.,COR BRANCA, PRATA OU CINZA, AR CONDICIONADO, PELÍCULA NOS VIDROS LATERAIS E TRASEIRO, RÁDIO COM USB, NO MÍNIMO 1.0, POTÊNCIA MÍNIMA DE 75 CV, GASOLINA E/OU FLEX, TANQUE DE COMBUSTÍVEL NÃO INFERIOR A 45 LITROS, COM MOTORISTA, COM MANUTENÇÃO CORRETIVA E PREVENTIVA.</t>
  </si>
  <si>
    <t>SERVICO DE MANUTENCAO EM PROGRAMA E SISTEMA NA AREA DE INFORMATICA - DO TIPO MANUTENCAO PREVENTIVA E CORRETIVA, SUPORTE TÉCNICO, ATUALIZAÇÃO E CUSTOMIZAÇÃO DO SOFTWARE.</t>
  </si>
  <si>
    <t>SERVICO DE ACESSO E UTILIZACAO - DO TIPO RENOVAÇÃO DE CERTIFICADO DIGITAL E-CPF A3, SERVIÇO VIA INTERNET, VALIDADE 36 MESES</t>
  </si>
  <si>
    <t>SERVICO DE TRANSPORTE TERRESTRE DE PESSOAS - SERVIÇO DE INTERMEDIAÇÃO OU AGENCIAMENTO DE SERVIÇOS DE TRANSPORTE INDIVIDUAL REMUNERADO DE PASSAGEIROS VIA APLICATIVO CUSTOMIZÁVEL WEB E MOBILE COM APOIO OPERACIONAL E TRATAMENTO DE DADOS, PROVEDORES DE SERVIÇOS DE APLICAÇÃO E SERVIÇOS DE HOSPEDAGEM DA INTERNET, PROVEDORES DE CONTEÚDO E OUTROS SERVIÇOS DE INFORMAÇÃO NA INTERNET, POR QUILOMETRO PERCORRIDO ATRAVÉS DE VEÍCULO CONVENCIONAL.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</si>
</sst>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4" fontId="0" fillId="0" borderId="1" xfId="0" applyNumberFormat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44" fontId="0" fillId="0" borderId="1" xfId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44" fontId="0" fillId="0" borderId="0" xfId="1" applyFont="1" applyAlignment="1">
      <alignment vertical="center"/>
    </xf>
    <xf numFmtId="44" fontId="0" fillId="0" borderId="0" xfId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4" fontId="0" fillId="0" borderId="5" xfId="1" applyFont="1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1" applyFont="1" applyAlignment="1">
      <alignment horizontal="right" vertical="center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4" fontId="0" fillId="0" borderId="0" xfId="1" applyFont="1" applyAlignment="1">
      <alignment vertical="center" wrapText="1"/>
    </xf>
    <xf numFmtId="44" fontId="0" fillId="0" borderId="0" xfId="1" applyFont="1" applyBorder="1"/>
    <xf numFmtId="4" fontId="0" fillId="0" borderId="0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34843</xdr:colOff>
      <xdr:row>0</xdr:row>
      <xdr:rowOff>11616</xdr:rowOff>
    </xdr:from>
    <xdr:to>
      <xdr:col>1</xdr:col>
      <xdr:colOff>391034</xdr:colOff>
      <xdr:row>5</xdr:row>
      <xdr:rowOff>162348</xdr:rowOff>
    </xdr:to>
    <xdr:pic>
      <xdr:nvPicPr>
        <xdr:cNvPr id="3" name="Imagem 2" descr="SERGIPE_PREVIDENCIA_editado pre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43" y="11616"/>
          <a:ext cx="1134453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63"/>
  <sheetViews>
    <sheetView showGridLines="0" tabSelected="1" zoomScale="79" zoomScaleNormal="79" workbookViewId="0">
      <pane xSplit="6" ySplit="7" topLeftCell="AD145" activePane="bottomRight" state="frozen"/>
      <selection pane="topRight" activeCell="G1" sqref="G1"/>
      <selection pane="bottomLeft" activeCell="A8" sqref="A8"/>
      <selection pane="bottomRight" activeCell="D145" sqref="D145"/>
    </sheetView>
  </sheetViews>
  <sheetFormatPr defaultRowHeight="15"/>
  <cols>
    <col min="1" max="1" width="11.7109375" customWidth="1"/>
    <col min="2" max="2" width="13.28515625" style="54" bestFit="1" customWidth="1"/>
    <col min="3" max="3" width="58.5703125" style="12" customWidth="1"/>
    <col min="4" max="4" width="44.7109375" style="11" customWidth="1"/>
    <col min="5" max="5" width="27.140625" style="9" bestFit="1" customWidth="1"/>
    <col min="6" max="31" width="16.28515625" customWidth="1"/>
    <col min="32" max="32" width="18.85546875" customWidth="1"/>
    <col min="33" max="33" width="20.140625" customWidth="1"/>
    <col min="34" max="34" width="20.42578125" customWidth="1"/>
    <col min="35" max="35" width="18.42578125" customWidth="1"/>
    <col min="36" max="38" width="16.28515625" customWidth="1"/>
  </cols>
  <sheetData>
    <row r="2" spans="1:38">
      <c r="C2" s="53" t="s">
        <v>231</v>
      </c>
    </row>
    <row r="3" spans="1:38">
      <c r="C3" s="53"/>
    </row>
    <row r="4" spans="1:38">
      <c r="C4" s="53"/>
    </row>
    <row r="5" spans="1:38">
      <c r="C5" s="53"/>
    </row>
    <row r="6" spans="1:38">
      <c r="G6" s="49" t="s">
        <v>74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 t="s">
        <v>75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</row>
    <row r="7" spans="1:38" s="9" customFormat="1" ht="30">
      <c r="A7" s="2" t="s">
        <v>0</v>
      </c>
      <c r="B7" s="2" t="s">
        <v>1</v>
      </c>
      <c r="C7" s="13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6</v>
      </c>
      <c r="T7" s="2" t="s">
        <v>7</v>
      </c>
      <c r="U7" s="2" t="s">
        <v>8</v>
      </c>
      <c r="V7" s="2" t="s">
        <v>9</v>
      </c>
      <c r="W7" s="2" t="s">
        <v>10</v>
      </c>
      <c r="X7" s="2" t="s">
        <v>11</v>
      </c>
      <c r="Y7" s="2" t="s">
        <v>12</v>
      </c>
      <c r="Z7" s="2" t="s">
        <v>13</v>
      </c>
      <c r="AA7" s="2" t="s">
        <v>14</v>
      </c>
      <c r="AB7" s="2" t="s">
        <v>15</v>
      </c>
      <c r="AC7" s="2" t="s">
        <v>16</v>
      </c>
      <c r="AD7" s="2" t="s">
        <v>17</v>
      </c>
      <c r="AE7" s="2" t="s">
        <v>18</v>
      </c>
      <c r="AF7" s="2" t="s">
        <v>19</v>
      </c>
      <c r="AG7" s="2" t="s">
        <v>20</v>
      </c>
      <c r="AH7" s="2" t="s">
        <v>21</v>
      </c>
      <c r="AI7" s="2" t="s">
        <v>22</v>
      </c>
      <c r="AJ7" s="2" t="s">
        <v>23</v>
      </c>
      <c r="AK7" s="2" t="s">
        <v>24</v>
      </c>
      <c r="AL7" s="2" t="s">
        <v>25</v>
      </c>
    </row>
    <row r="8" spans="1:38" s="19" customFormat="1" ht="30">
      <c r="A8" s="1">
        <v>1</v>
      </c>
      <c r="B8" s="42" t="s">
        <v>26</v>
      </c>
      <c r="C8" s="14" t="s">
        <v>78</v>
      </c>
      <c r="D8" s="10" t="s">
        <v>89</v>
      </c>
      <c r="E8" s="3" t="s">
        <v>90</v>
      </c>
      <c r="F8" s="4">
        <v>3900</v>
      </c>
      <c r="G8" s="4"/>
      <c r="H8" s="7">
        <v>3900</v>
      </c>
      <c r="I8" s="4"/>
      <c r="J8" s="4"/>
      <c r="K8" s="4"/>
      <c r="L8" s="4"/>
      <c r="M8" s="4"/>
      <c r="N8" s="4"/>
      <c r="O8" s="4"/>
      <c r="P8" s="4"/>
      <c r="Q8" s="5"/>
      <c r="R8" s="4"/>
      <c r="S8" s="4"/>
      <c r="T8" s="4">
        <v>3900</v>
      </c>
      <c r="U8" s="4"/>
      <c r="V8" s="4"/>
      <c r="W8" s="4"/>
      <c r="X8" s="4"/>
      <c r="Y8" s="4"/>
      <c r="Z8" s="4"/>
      <c r="AA8" s="4"/>
      <c r="AB8" s="4"/>
      <c r="AC8" s="5"/>
      <c r="AD8" s="4"/>
      <c r="AE8" s="4"/>
      <c r="AF8" s="4"/>
      <c r="AG8" s="4">
        <f t="shared" ref="AG8:AG39" si="0">F8-AE8+AF8</f>
        <v>3900</v>
      </c>
      <c r="AH8" s="4">
        <f t="shared" ref="AH8:AH39" si="1">SUM(G8:R8)</f>
        <v>3900</v>
      </c>
      <c r="AI8" s="4">
        <f t="shared" ref="AI8:AI39" si="2">SUM(S8:AD8)</f>
        <v>3900</v>
      </c>
      <c r="AJ8" s="4">
        <f t="shared" ref="AJ8:AJ39" si="3">(AH8-AI8)+(AG8-AH8)</f>
        <v>0</v>
      </c>
      <c r="AK8" s="4">
        <f t="shared" ref="AK8:AK39" si="4">AH8-AI8</f>
        <v>0</v>
      </c>
      <c r="AL8" s="4">
        <f t="shared" ref="AL8:AL39" si="5">AG8-AH8</f>
        <v>0</v>
      </c>
    </row>
    <row r="9" spans="1:38" s="19" customFormat="1" ht="30">
      <c r="A9" s="1">
        <v>2</v>
      </c>
      <c r="B9" s="42" t="s">
        <v>27</v>
      </c>
      <c r="C9" s="14" t="s">
        <v>44</v>
      </c>
      <c r="D9" s="10" t="s">
        <v>45</v>
      </c>
      <c r="E9" s="3" t="s">
        <v>45</v>
      </c>
      <c r="F9" s="7">
        <v>33601</v>
      </c>
      <c r="G9" s="7">
        <v>16800</v>
      </c>
      <c r="H9" s="7">
        <v>18900</v>
      </c>
      <c r="I9" s="7"/>
      <c r="J9" s="7"/>
      <c r="K9" s="7"/>
      <c r="L9" s="7"/>
      <c r="M9" s="7"/>
      <c r="N9" s="7">
        <v>18900</v>
      </c>
      <c r="O9" s="7">
        <v>18900</v>
      </c>
      <c r="P9" s="7"/>
      <c r="Q9" s="7">
        <v>18900</v>
      </c>
      <c r="R9" s="7">
        <f>18900+14700</f>
        <v>33600</v>
      </c>
      <c r="S9" s="22">
        <v>16800</v>
      </c>
      <c r="T9" s="7">
        <v>18900</v>
      </c>
      <c r="U9" s="7"/>
      <c r="V9" s="7"/>
      <c r="W9" s="7"/>
      <c r="X9" s="7"/>
      <c r="Y9" s="7"/>
      <c r="Z9" s="7">
        <v>18900</v>
      </c>
      <c r="AA9" s="7">
        <v>18900</v>
      </c>
      <c r="AB9" s="7"/>
      <c r="AC9" s="7">
        <v>18900</v>
      </c>
      <c r="AD9" s="7">
        <v>33600</v>
      </c>
      <c r="AE9" s="7">
        <v>4201</v>
      </c>
      <c r="AF9" s="7">
        <v>96600</v>
      </c>
      <c r="AG9" s="4">
        <f t="shared" si="0"/>
        <v>126000</v>
      </c>
      <c r="AH9" s="4">
        <f t="shared" si="1"/>
        <v>126000</v>
      </c>
      <c r="AI9" s="4">
        <f t="shared" si="2"/>
        <v>126000</v>
      </c>
      <c r="AJ9" s="4">
        <f t="shared" si="3"/>
        <v>0</v>
      </c>
      <c r="AK9" s="4">
        <f t="shared" si="4"/>
        <v>0</v>
      </c>
      <c r="AL9" s="4">
        <f t="shared" si="5"/>
        <v>0</v>
      </c>
    </row>
    <row r="10" spans="1:38" s="19" customFormat="1">
      <c r="A10" s="1">
        <v>3</v>
      </c>
      <c r="B10" s="42" t="s">
        <v>27</v>
      </c>
      <c r="C10" s="14" t="s">
        <v>66</v>
      </c>
      <c r="D10" s="10" t="s">
        <v>51</v>
      </c>
      <c r="E10" s="3" t="s">
        <v>52</v>
      </c>
      <c r="F10" s="7">
        <v>4000</v>
      </c>
      <c r="G10" s="7" t="s">
        <v>282</v>
      </c>
      <c r="H10" s="7" t="s">
        <v>282</v>
      </c>
      <c r="I10" s="7" t="s">
        <v>282</v>
      </c>
      <c r="J10" s="7" t="s">
        <v>282</v>
      </c>
      <c r="K10" s="7"/>
      <c r="L10" s="23" t="s">
        <v>282</v>
      </c>
      <c r="M10" s="23" t="s">
        <v>282</v>
      </c>
      <c r="N10" s="7" t="s">
        <v>282</v>
      </c>
      <c r="O10" s="7" t="s">
        <v>282</v>
      </c>
      <c r="P10" s="7" t="s">
        <v>282</v>
      </c>
      <c r="Q10" s="7" t="s">
        <v>283</v>
      </c>
      <c r="R10" s="7">
        <f>1055.81+1153.37</f>
        <v>2209.1799999999998</v>
      </c>
      <c r="S10" s="7"/>
      <c r="T10" s="7">
        <v>656.39</v>
      </c>
      <c r="U10" s="7">
        <v>656.39</v>
      </c>
      <c r="V10" s="7">
        <v>656.39</v>
      </c>
      <c r="W10" s="23">
        <v>656.39</v>
      </c>
      <c r="X10" s="23">
        <v>656.39</v>
      </c>
      <c r="Y10" s="7">
        <v>656.39</v>
      </c>
      <c r="Z10" s="7">
        <v>656.39</v>
      </c>
      <c r="AA10" s="7">
        <v>656.39</v>
      </c>
      <c r="AB10" s="7">
        <v>656.39</v>
      </c>
      <c r="AC10" s="7">
        <v>736.39</v>
      </c>
      <c r="AD10" s="7">
        <v>2209.1799999999998</v>
      </c>
      <c r="AE10" s="7">
        <v>1080.92</v>
      </c>
      <c r="AF10" s="7">
        <v>5934</v>
      </c>
      <c r="AG10" s="4">
        <f t="shared" si="0"/>
        <v>8853.08</v>
      </c>
      <c r="AH10" s="4">
        <f t="shared" si="1"/>
        <v>2209.1799999999998</v>
      </c>
      <c r="AI10" s="4">
        <f t="shared" si="2"/>
        <v>8853.08</v>
      </c>
      <c r="AJ10" s="4">
        <f t="shared" si="3"/>
        <v>0</v>
      </c>
      <c r="AK10" s="4">
        <f t="shared" si="4"/>
        <v>-6643.9</v>
      </c>
      <c r="AL10" s="4">
        <f t="shared" si="5"/>
        <v>6643.9</v>
      </c>
    </row>
    <row r="11" spans="1:38" s="19" customFormat="1">
      <c r="A11" s="1">
        <v>4</v>
      </c>
      <c r="B11" s="42" t="s">
        <v>27</v>
      </c>
      <c r="C11" s="14" t="s">
        <v>67</v>
      </c>
      <c r="D11" s="10" t="s">
        <v>68</v>
      </c>
      <c r="E11" s="3" t="s">
        <v>69</v>
      </c>
      <c r="F11" s="7">
        <v>44400</v>
      </c>
      <c r="G11" s="7"/>
      <c r="H11" s="7">
        <v>21942.34</v>
      </c>
      <c r="I11" s="7">
        <v>27747.7</v>
      </c>
      <c r="J11" s="7">
        <v>23097.08</v>
      </c>
      <c r="K11" s="7">
        <v>23097.08</v>
      </c>
      <c r="L11" s="7">
        <v>23098.94</v>
      </c>
      <c r="M11" s="7">
        <v>31806.99</v>
      </c>
      <c r="N11" s="7">
        <v>23098.94</v>
      </c>
      <c r="O11" s="7">
        <v>23098.94</v>
      </c>
      <c r="P11" s="7">
        <v>23098.94</v>
      </c>
      <c r="Q11" s="7">
        <v>23098.880000000001</v>
      </c>
      <c r="R11" s="29">
        <v>36793.15</v>
      </c>
      <c r="S11" s="7"/>
      <c r="T11" s="7">
        <v>21942.34</v>
      </c>
      <c r="U11" s="7">
        <v>27747.7</v>
      </c>
      <c r="V11" s="7"/>
      <c r="W11" s="7">
        <f>23097.08+23097.08</f>
        <v>46194.16</v>
      </c>
      <c r="X11" s="7"/>
      <c r="Y11" s="7">
        <v>23098.94</v>
      </c>
      <c r="Z11" s="7">
        <f>23098.94+31806.99</f>
        <v>54905.93</v>
      </c>
      <c r="AA11" s="7"/>
      <c r="AB11" s="7">
        <v>23098.94</v>
      </c>
      <c r="AC11" s="7">
        <v>23098.880000000001</v>
      </c>
      <c r="AD11" s="7">
        <f>23098.04+0.9+36793.15</f>
        <v>59892.090000000004</v>
      </c>
      <c r="AE11" s="29">
        <v>9421.02</v>
      </c>
      <c r="AF11" s="7">
        <v>245000</v>
      </c>
      <c r="AG11" s="4">
        <f t="shared" si="0"/>
        <v>279978.98</v>
      </c>
      <c r="AH11" s="4">
        <f t="shared" si="1"/>
        <v>279978.98000000004</v>
      </c>
      <c r="AI11" s="4">
        <f t="shared" si="2"/>
        <v>279978.98000000004</v>
      </c>
      <c r="AJ11" s="4">
        <f t="shared" si="3"/>
        <v>-5.8207660913467407E-11</v>
      </c>
      <c r="AK11" s="4">
        <f t="shared" si="4"/>
        <v>0</v>
      </c>
      <c r="AL11" s="4">
        <f t="shared" si="5"/>
        <v>0</v>
      </c>
    </row>
    <row r="12" spans="1:38" s="19" customFormat="1" ht="30">
      <c r="A12" s="1">
        <v>5</v>
      </c>
      <c r="B12" s="42" t="s">
        <v>27</v>
      </c>
      <c r="C12" s="14" t="s">
        <v>50</v>
      </c>
      <c r="D12" s="10" t="s">
        <v>45</v>
      </c>
      <c r="E12" s="3" t="s">
        <v>45</v>
      </c>
      <c r="F12" s="4">
        <v>100000</v>
      </c>
      <c r="G12" s="4">
        <v>31253.94</v>
      </c>
      <c r="H12" s="4">
        <v>30453.94</v>
      </c>
      <c r="I12" s="4">
        <v>30453.94</v>
      </c>
      <c r="J12" s="4">
        <v>30453.94</v>
      </c>
      <c r="K12" s="4">
        <v>28853.94</v>
      </c>
      <c r="L12" s="4">
        <v>27453.94</v>
      </c>
      <c r="M12" s="4">
        <f>33453.9+2399.96</f>
        <v>35853.86</v>
      </c>
      <c r="N12" s="4">
        <v>31053.94</v>
      </c>
      <c r="O12" s="4">
        <v>30513.94</v>
      </c>
      <c r="P12" s="4">
        <v>31053.94</v>
      </c>
      <c r="Q12" s="4">
        <v>31053.94</v>
      </c>
      <c r="R12" s="4">
        <v>31053.94</v>
      </c>
      <c r="S12" s="4"/>
      <c r="T12" s="4">
        <v>31253.94</v>
      </c>
      <c r="U12" s="5">
        <v>5373.8</v>
      </c>
      <c r="V12" s="4">
        <v>55534.080000000002</v>
      </c>
      <c r="W12" s="4"/>
      <c r="X12" s="4">
        <v>61172.54</v>
      </c>
      <c r="Y12" s="4">
        <v>55258.48</v>
      </c>
      <c r="Z12" s="4">
        <v>8676.36</v>
      </c>
      <c r="AA12" s="4">
        <v>36111.26</v>
      </c>
      <c r="AB12" s="4"/>
      <c r="AC12" s="4"/>
      <c r="AD12" s="4">
        <v>70327.22</v>
      </c>
      <c r="AE12" s="4">
        <v>123892.8</v>
      </c>
      <c r="AF12" s="4">
        <v>393400</v>
      </c>
      <c r="AG12" s="4">
        <f t="shared" si="0"/>
        <v>369507.2</v>
      </c>
      <c r="AH12" s="4">
        <f t="shared" si="1"/>
        <v>369507.2</v>
      </c>
      <c r="AI12" s="4">
        <f t="shared" si="2"/>
        <v>323707.68000000005</v>
      </c>
      <c r="AJ12" s="4">
        <f t="shared" si="3"/>
        <v>45799.51999999996</v>
      </c>
      <c r="AK12" s="4">
        <f t="shared" si="4"/>
        <v>45799.51999999996</v>
      </c>
      <c r="AL12" s="4">
        <f t="shared" si="5"/>
        <v>0</v>
      </c>
    </row>
    <row r="13" spans="1:38" s="19" customFormat="1" ht="30">
      <c r="A13" s="1">
        <v>6</v>
      </c>
      <c r="B13" s="42" t="s">
        <v>27</v>
      </c>
      <c r="C13" s="14" t="s">
        <v>73</v>
      </c>
      <c r="D13" s="10" t="s">
        <v>45</v>
      </c>
      <c r="E13" s="3" t="s">
        <v>45</v>
      </c>
      <c r="F13" s="4">
        <v>400000</v>
      </c>
      <c r="G13" s="4">
        <v>131869.01999999999</v>
      </c>
      <c r="H13" s="4">
        <v>127147.08</v>
      </c>
      <c r="I13" s="4">
        <v>130208.09</v>
      </c>
      <c r="J13" s="4">
        <v>125238.02</v>
      </c>
      <c r="K13" s="4">
        <v>121431.4</v>
      </c>
      <c r="L13" s="4">
        <v>116872.12</v>
      </c>
      <c r="M13" s="4">
        <f>119361.83+1773.31</f>
        <v>121135.14</v>
      </c>
      <c r="N13" s="4">
        <v>121483.77</v>
      </c>
      <c r="O13" s="4">
        <v>120868.37</v>
      </c>
      <c r="P13" s="28">
        <v>121483.77</v>
      </c>
      <c r="Q13" s="4">
        <f>36086.44+115964.13+11598.28</f>
        <v>163648.85</v>
      </c>
      <c r="R13" s="4">
        <f>9452.36+142846.43+115964.13</f>
        <v>268262.92</v>
      </c>
      <c r="S13" s="7">
        <v>38925.040000000001</v>
      </c>
      <c r="T13" s="4">
        <f>26044.75+36869.08</f>
        <v>62913.83</v>
      </c>
      <c r="U13" s="5">
        <f>64281.7+47074.8+39324.22</f>
        <v>150680.72</v>
      </c>
      <c r="V13" s="4">
        <f>40301.52+2933.48</f>
        <v>43235</v>
      </c>
      <c r="W13" s="4">
        <f>37734.52+64540.75</f>
        <v>102275.26999999999</v>
      </c>
      <c r="X13" s="4">
        <f>64201.81+64170.58+54720.7+62921.41+52965.13+50460.62</f>
        <v>349440.25</v>
      </c>
      <c r="Y13" s="4">
        <f>60908.14+41432.98</f>
        <v>102341.12</v>
      </c>
      <c r="Z13" s="4">
        <f>55924.73+52109.28+37539.4</f>
        <v>145573.41</v>
      </c>
      <c r="AA13" s="4">
        <f>80732.62+40135.75</f>
        <v>120868.37</v>
      </c>
      <c r="AB13" s="5">
        <v>37258.21</v>
      </c>
      <c r="AC13" s="5">
        <v>41737.46</v>
      </c>
      <c r="AD13" s="4">
        <f>66934.01+389306</f>
        <v>456240.01</v>
      </c>
      <c r="AE13" s="4">
        <v>54351.45</v>
      </c>
      <c r="AF13" s="4">
        <v>1324000</v>
      </c>
      <c r="AG13" s="4">
        <f t="shared" si="0"/>
        <v>1669648.55</v>
      </c>
      <c r="AH13" s="4">
        <f t="shared" si="1"/>
        <v>1669648.55</v>
      </c>
      <c r="AI13" s="4">
        <f t="shared" si="2"/>
        <v>1651488.69</v>
      </c>
      <c r="AJ13" s="4">
        <f t="shared" si="3"/>
        <v>18159.860000000102</v>
      </c>
      <c r="AK13" s="4">
        <f t="shared" si="4"/>
        <v>18159.860000000102</v>
      </c>
      <c r="AL13" s="4">
        <f t="shared" si="5"/>
        <v>0</v>
      </c>
    </row>
    <row r="14" spans="1:38" s="19" customFormat="1" ht="30">
      <c r="A14" s="1">
        <v>7</v>
      </c>
      <c r="B14" s="42" t="s">
        <v>27</v>
      </c>
      <c r="C14" s="14" t="s">
        <v>47</v>
      </c>
      <c r="D14" s="10" t="s">
        <v>45</v>
      </c>
      <c r="E14" s="3" t="s">
        <v>45</v>
      </c>
      <c r="F14" s="4">
        <v>8000</v>
      </c>
      <c r="G14" s="4">
        <v>868.75</v>
      </c>
      <c r="H14" s="4">
        <v>1504.96</v>
      </c>
      <c r="I14" s="4">
        <v>1247.3399999999999</v>
      </c>
      <c r="J14" s="4">
        <v>2901.49</v>
      </c>
      <c r="K14" s="4">
        <v>2518.37</v>
      </c>
      <c r="L14" s="5">
        <v>2719.89</v>
      </c>
      <c r="M14" s="4">
        <v>2377.12</v>
      </c>
      <c r="N14" s="4">
        <f>2651.8</f>
        <v>2651.8</v>
      </c>
      <c r="O14" s="4">
        <v>2043.54</v>
      </c>
      <c r="P14" s="4">
        <v>2363.54</v>
      </c>
      <c r="Q14" s="39">
        <v>2561.9499999999998</v>
      </c>
      <c r="R14" s="4">
        <v>2401.9499999999998</v>
      </c>
      <c r="S14" s="4"/>
      <c r="T14" s="4">
        <v>868.75</v>
      </c>
      <c r="U14" s="4">
        <v>2752.3</v>
      </c>
      <c r="V14" s="4"/>
      <c r="W14" s="4"/>
      <c r="X14" s="5"/>
      <c r="Y14" s="4"/>
      <c r="Z14" s="4">
        <v>2944.99</v>
      </c>
      <c r="AA14" s="4"/>
      <c r="AB14" s="4"/>
      <c r="AC14" s="4"/>
      <c r="AD14" s="4"/>
      <c r="AE14" s="4">
        <v>6839.3</v>
      </c>
      <c r="AF14" s="4">
        <v>25000</v>
      </c>
      <c r="AG14" s="4">
        <f t="shared" si="0"/>
        <v>26160.7</v>
      </c>
      <c r="AH14" s="4">
        <f t="shared" si="1"/>
        <v>26160.7</v>
      </c>
      <c r="AI14" s="4">
        <f t="shared" si="2"/>
        <v>6566.04</v>
      </c>
      <c r="AJ14" s="4">
        <f t="shared" si="3"/>
        <v>19594.66</v>
      </c>
      <c r="AK14" s="4">
        <f t="shared" si="4"/>
        <v>19594.66</v>
      </c>
      <c r="AL14" s="4">
        <f t="shared" si="5"/>
        <v>0</v>
      </c>
    </row>
    <row r="15" spans="1:38" s="19" customFormat="1" ht="30">
      <c r="A15" s="1">
        <v>8</v>
      </c>
      <c r="B15" s="42" t="s">
        <v>27</v>
      </c>
      <c r="C15" s="14" t="s">
        <v>72</v>
      </c>
      <c r="D15" s="10" t="s">
        <v>45</v>
      </c>
      <c r="E15" s="3" t="s">
        <v>45</v>
      </c>
      <c r="F15" s="4">
        <v>1000</v>
      </c>
      <c r="G15" s="5">
        <v>168</v>
      </c>
      <c r="H15" s="4">
        <v>168</v>
      </c>
      <c r="I15" s="4">
        <v>168</v>
      </c>
      <c r="J15" s="4">
        <v>168</v>
      </c>
      <c r="K15" s="4">
        <v>168</v>
      </c>
      <c r="L15" s="4">
        <v>168</v>
      </c>
      <c r="M15" s="4">
        <v>168</v>
      </c>
      <c r="N15" s="4">
        <v>168</v>
      </c>
      <c r="O15" s="4">
        <v>168</v>
      </c>
      <c r="P15" s="4">
        <v>168</v>
      </c>
      <c r="Q15" s="4">
        <v>216.62</v>
      </c>
      <c r="R15" s="4">
        <v>216.62</v>
      </c>
      <c r="S15" s="4"/>
      <c r="T15" s="5">
        <v>168</v>
      </c>
      <c r="U15" s="4">
        <v>336</v>
      </c>
      <c r="V15" s="4"/>
      <c r="W15" s="4"/>
      <c r="X15" s="4"/>
      <c r="Y15" s="4"/>
      <c r="Z15" s="4"/>
      <c r="AA15" s="4"/>
      <c r="AB15" s="4"/>
      <c r="AC15" s="4"/>
      <c r="AD15" s="4"/>
      <c r="AE15" s="4">
        <v>186.76</v>
      </c>
      <c r="AF15" s="4">
        <v>1300</v>
      </c>
      <c r="AG15" s="4">
        <f t="shared" si="0"/>
        <v>2113.2399999999998</v>
      </c>
      <c r="AH15" s="4">
        <f t="shared" si="1"/>
        <v>2113.2399999999998</v>
      </c>
      <c r="AI15" s="4">
        <f t="shared" si="2"/>
        <v>504</v>
      </c>
      <c r="AJ15" s="4">
        <f t="shared" si="3"/>
        <v>1609.2399999999998</v>
      </c>
      <c r="AK15" s="4">
        <f t="shared" si="4"/>
        <v>1609.2399999999998</v>
      </c>
      <c r="AL15" s="4">
        <f t="shared" si="5"/>
        <v>0</v>
      </c>
    </row>
    <row r="16" spans="1:38" s="19" customFormat="1">
      <c r="A16" s="1">
        <v>9</v>
      </c>
      <c r="B16" s="42" t="s">
        <v>27</v>
      </c>
      <c r="C16" s="14" t="s">
        <v>61</v>
      </c>
      <c r="D16" s="10" t="s">
        <v>59</v>
      </c>
      <c r="E16" s="3" t="s">
        <v>60</v>
      </c>
      <c r="F16" s="4">
        <v>40000</v>
      </c>
      <c r="G16" s="5">
        <v>16960.47</v>
      </c>
      <c r="H16" s="4">
        <f>2940+16267.71</f>
        <v>19207.71</v>
      </c>
      <c r="I16" s="4">
        <v>16211.27</v>
      </c>
      <c r="J16" s="4"/>
      <c r="K16" s="4">
        <v>16017.66</v>
      </c>
      <c r="L16" s="4">
        <v>15557.21</v>
      </c>
      <c r="M16" s="4">
        <f>24.37+15004.74</f>
        <v>15029.11</v>
      </c>
      <c r="N16" s="4">
        <f>17061.68+2940</f>
        <v>20001.68</v>
      </c>
      <c r="O16" s="4">
        <f>16406.91+2940+19.59+54.86</f>
        <v>19421.36</v>
      </c>
      <c r="P16" s="4">
        <v>16164.28</v>
      </c>
      <c r="Q16" s="5">
        <v>30080.16</v>
      </c>
      <c r="R16" s="5">
        <v>37888.730000000003</v>
      </c>
      <c r="S16" s="5"/>
      <c r="T16" s="7">
        <v>19900.47</v>
      </c>
      <c r="U16" s="4">
        <v>16267.71</v>
      </c>
      <c r="V16" s="4">
        <v>16211.27</v>
      </c>
      <c r="W16" s="4">
        <v>16017.66</v>
      </c>
      <c r="X16" s="4">
        <v>15557.21</v>
      </c>
      <c r="Y16" s="4">
        <v>15029.11</v>
      </c>
      <c r="Z16" s="4">
        <f>17061.68+2940</f>
        <v>20001.68</v>
      </c>
      <c r="AA16" s="4">
        <f>16406.91+19.59+54.86</f>
        <v>16481.36</v>
      </c>
      <c r="AB16" s="5">
        <v>19104.28</v>
      </c>
      <c r="AC16" s="5">
        <v>13295.25</v>
      </c>
      <c r="AD16" s="21">
        <f>54673.64</f>
        <v>54673.64</v>
      </c>
      <c r="AE16" s="4">
        <v>10460.36</v>
      </c>
      <c r="AF16" s="4">
        <v>193000</v>
      </c>
      <c r="AG16" s="4">
        <f t="shared" si="0"/>
        <v>222539.64</v>
      </c>
      <c r="AH16" s="4">
        <f t="shared" si="1"/>
        <v>222539.64000000004</v>
      </c>
      <c r="AI16" s="4">
        <f t="shared" si="2"/>
        <v>222539.64</v>
      </c>
      <c r="AJ16" s="4">
        <f t="shared" si="3"/>
        <v>0</v>
      </c>
      <c r="AK16" s="4">
        <f t="shared" si="4"/>
        <v>0</v>
      </c>
      <c r="AL16" s="4">
        <f t="shared" si="5"/>
        <v>0</v>
      </c>
    </row>
    <row r="17" spans="1:38" s="19" customFormat="1">
      <c r="A17" s="1">
        <v>10</v>
      </c>
      <c r="B17" s="42" t="s">
        <v>27</v>
      </c>
      <c r="C17" s="14" t="s">
        <v>65</v>
      </c>
      <c r="D17" s="10" t="s">
        <v>83</v>
      </c>
      <c r="E17" s="3" t="s">
        <v>83</v>
      </c>
      <c r="F17" s="4">
        <v>36000</v>
      </c>
      <c r="G17" s="4">
        <v>15263.2</v>
      </c>
      <c r="H17" s="4">
        <f>15263.2+556.86</f>
        <v>15820.060000000001</v>
      </c>
      <c r="I17" s="4">
        <v>15263.2</v>
      </c>
      <c r="J17" s="4"/>
      <c r="K17" s="4">
        <v>16437.28</v>
      </c>
      <c r="L17" s="4">
        <v>15680.54</v>
      </c>
      <c r="M17" s="4"/>
      <c r="N17" s="4">
        <f>14863.02+15270.38</f>
        <v>30133.4</v>
      </c>
      <c r="O17" s="4">
        <v>15270.38</v>
      </c>
      <c r="P17" s="4">
        <v>15270.38</v>
      </c>
      <c r="Q17" s="4">
        <f>15270.38+13724.9</f>
        <v>28995.279999999999</v>
      </c>
      <c r="R17" s="5">
        <v>28000.34</v>
      </c>
      <c r="S17" s="4"/>
      <c r="T17" s="4">
        <v>15820.06</v>
      </c>
      <c r="U17" s="4">
        <v>15263.2</v>
      </c>
      <c r="V17" s="4">
        <v>15263.2</v>
      </c>
      <c r="W17" s="21">
        <v>16437.28</v>
      </c>
      <c r="X17" s="20">
        <v>15680.54</v>
      </c>
      <c r="Y17" s="4"/>
      <c r="Z17" s="4">
        <v>14863.02</v>
      </c>
      <c r="AA17" s="4">
        <f>15270.38+15270.38</f>
        <v>30540.76</v>
      </c>
      <c r="AB17" s="4">
        <v>15270.38</v>
      </c>
      <c r="AC17" s="4">
        <v>15270.38</v>
      </c>
      <c r="AD17" s="5">
        <v>41725.24</v>
      </c>
      <c r="AE17" s="4">
        <v>6865.94</v>
      </c>
      <c r="AF17" s="4">
        <v>167000</v>
      </c>
      <c r="AG17" s="4">
        <f t="shared" si="0"/>
        <v>196134.06</v>
      </c>
      <c r="AH17" s="4">
        <f t="shared" si="1"/>
        <v>196134.06</v>
      </c>
      <c r="AI17" s="4">
        <f t="shared" si="2"/>
        <v>196134.06</v>
      </c>
      <c r="AJ17" s="4">
        <f t="shared" si="3"/>
        <v>0</v>
      </c>
      <c r="AK17" s="4">
        <f t="shared" si="4"/>
        <v>0</v>
      </c>
      <c r="AL17" s="4">
        <f t="shared" si="5"/>
        <v>0</v>
      </c>
    </row>
    <row r="18" spans="1:38" s="19" customFormat="1">
      <c r="A18" s="1">
        <v>11</v>
      </c>
      <c r="B18" s="42" t="s">
        <v>27</v>
      </c>
      <c r="C18" s="14" t="s">
        <v>58</v>
      </c>
      <c r="D18" s="10" t="s">
        <v>91</v>
      </c>
      <c r="E18" s="3" t="s">
        <v>91</v>
      </c>
      <c r="F18" s="4">
        <v>8000</v>
      </c>
      <c r="G18" s="5">
        <v>3072.7</v>
      </c>
      <c r="H18" s="4">
        <v>2791.69</v>
      </c>
      <c r="I18" s="4">
        <v>3194.55</v>
      </c>
      <c r="J18" s="4"/>
      <c r="K18" s="4">
        <v>3000.49</v>
      </c>
      <c r="L18" s="4">
        <v>2815.38</v>
      </c>
      <c r="M18" s="4">
        <v>2698.6</v>
      </c>
      <c r="N18" s="4">
        <v>2747.31</v>
      </c>
      <c r="O18" s="4">
        <v>2853.15</v>
      </c>
      <c r="P18" s="4">
        <v>2784.64</v>
      </c>
      <c r="Q18" s="4">
        <f>2803.01+2582.23</f>
        <v>5385.24</v>
      </c>
      <c r="R18" s="4">
        <f>2582.23+2582.23</f>
        <v>5164.46</v>
      </c>
      <c r="S18" s="4"/>
      <c r="T18" s="5">
        <v>3072.7</v>
      </c>
      <c r="U18" s="4">
        <v>2791.69</v>
      </c>
      <c r="V18" s="4">
        <v>3194.55</v>
      </c>
      <c r="W18" s="4">
        <v>3000.49</v>
      </c>
      <c r="X18" s="4">
        <v>2815.38</v>
      </c>
      <c r="Y18" s="4"/>
      <c r="Z18" s="4">
        <v>2698.6</v>
      </c>
      <c r="AA18" s="4">
        <f>2747.31+2853.15</f>
        <v>5600.46</v>
      </c>
      <c r="AB18" s="4">
        <v>2784.64</v>
      </c>
      <c r="AC18" s="4">
        <v>2803.01</v>
      </c>
      <c r="AD18" s="4">
        <f>2582.23*3</f>
        <v>7746.6900000000005</v>
      </c>
      <c r="AE18" s="4">
        <v>3491.79</v>
      </c>
      <c r="AF18" s="4">
        <v>32000</v>
      </c>
      <c r="AG18" s="4">
        <f t="shared" si="0"/>
        <v>36508.21</v>
      </c>
      <c r="AH18" s="4">
        <f t="shared" si="1"/>
        <v>36508.21</v>
      </c>
      <c r="AI18" s="4">
        <f t="shared" si="2"/>
        <v>36508.21</v>
      </c>
      <c r="AJ18" s="4">
        <f t="shared" si="3"/>
        <v>0</v>
      </c>
      <c r="AK18" s="4">
        <f t="shared" si="4"/>
        <v>0</v>
      </c>
      <c r="AL18" s="4">
        <f t="shared" si="5"/>
        <v>0</v>
      </c>
    </row>
    <row r="19" spans="1:38" s="19" customFormat="1" ht="30">
      <c r="A19" s="1">
        <v>12</v>
      </c>
      <c r="B19" s="42" t="s">
        <v>27</v>
      </c>
      <c r="C19" s="15" t="s">
        <v>92</v>
      </c>
      <c r="D19" s="10" t="s">
        <v>46</v>
      </c>
      <c r="E19" s="3" t="s">
        <v>46</v>
      </c>
      <c r="F19" s="4">
        <v>6000</v>
      </c>
      <c r="G19" s="4">
        <v>1776</v>
      </c>
      <c r="H19" s="4">
        <v>2104</v>
      </c>
      <c r="I19" s="4">
        <v>1520</v>
      </c>
      <c r="J19" s="4"/>
      <c r="K19" s="4"/>
      <c r="L19" s="4"/>
      <c r="M19" s="4"/>
      <c r="N19" s="4"/>
      <c r="O19" s="4"/>
      <c r="P19" s="4"/>
      <c r="Q19" s="4"/>
      <c r="R19" s="4"/>
      <c r="S19" s="4">
        <v>1776</v>
      </c>
      <c r="T19" s="24">
        <v>2104</v>
      </c>
      <c r="U19" s="20">
        <v>1520</v>
      </c>
      <c r="V19" s="4"/>
      <c r="W19" s="4"/>
      <c r="X19" s="7"/>
      <c r="Y19" s="4"/>
      <c r="Z19" s="4"/>
      <c r="AA19" s="4"/>
      <c r="AB19" s="4"/>
      <c r="AC19" s="4"/>
      <c r="AD19" s="4"/>
      <c r="AE19" s="4">
        <v>600</v>
      </c>
      <c r="AF19" s="4"/>
      <c r="AG19" s="4">
        <f t="shared" si="0"/>
        <v>5400</v>
      </c>
      <c r="AH19" s="4">
        <f t="shared" si="1"/>
        <v>5400</v>
      </c>
      <c r="AI19" s="4">
        <f t="shared" si="2"/>
        <v>5400</v>
      </c>
      <c r="AJ19" s="4">
        <f t="shared" si="3"/>
        <v>0</v>
      </c>
      <c r="AK19" s="4">
        <f t="shared" si="4"/>
        <v>0</v>
      </c>
      <c r="AL19" s="4">
        <f t="shared" si="5"/>
        <v>0</v>
      </c>
    </row>
    <row r="20" spans="1:38" s="19" customFormat="1" ht="30">
      <c r="A20" s="1">
        <v>13</v>
      </c>
      <c r="B20" s="42" t="s">
        <v>27</v>
      </c>
      <c r="C20" s="14" t="s">
        <v>93</v>
      </c>
      <c r="D20" s="10" t="s">
        <v>46</v>
      </c>
      <c r="E20" s="3" t="s">
        <v>46</v>
      </c>
      <c r="F20" s="4">
        <v>12000</v>
      </c>
      <c r="G20" s="5">
        <v>5021.4799999999996</v>
      </c>
      <c r="H20" s="4">
        <v>5713.16</v>
      </c>
      <c r="I20" s="4">
        <v>4329.83</v>
      </c>
      <c r="J20" s="4">
        <v>553.33000000000004</v>
      </c>
      <c r="K20" s="4"/>
      <c r="L20" s="4"/>
      <c r="M20" s="4"/>
      <c r="N20" s="4"/>
      <c r="O20" s="4"/>
      <c r="P20" s="4"/>
      <c r="Q20" s="4"/>
      <c r="R20" s="4"/>
      <c r="S20" s="5">
        <v>5021.4799999999996</v>
      </c>
      <c r="T20" s="4">
        <v>5713.16</v>
      </c>
      <c r="U20" s="4">
        <v>4329.83</v>
      </c>
      <c r="V20" s="4">
        <v>553.33000000000004</v>
      </c>
      <c r="W20" s="4"/>
      <c r="X20" s="4"/>
      <c r="Y20" s="4"/>
      <c r="Z20" s="4"/>
      <c r="AA20" s="4"/>
      <c r="AB20" s="4"/>
      <c r="AC20" s="4"/>
      <c r="AD20" s="4"/>
      <c r="AE20" s="4">
        <v>382.2</v>
      </c>
      <c r="AF20" s="4">
        <v>4000</v>
      </c>
      <c r="AG20" s="4">
        <f t="shared" si="0"/>
        <v>15617.8</v>
      </c>
      <c r="AH20" s="4">
        <f t="shared" si="1"/>
        <v>15617.8</v>
      </c>
      <c r="AI20" s="4">
        <f t="shared" si="2"/>
        <v>15617.8</v>
      </c>
      <c r="AJ20" s="4">
        <f t="shared" si="3"/>
        <v>0</v>
      </c>
      <c r="AK20" s="4">
        <f t="shared" si="4"/>
        <v>0</v>
      </c>
      <c r="AL20" s="4">
        <f t="shared" si="5"/>
        <v>0</v>
      </c>
    </row>
    <row r="21" spans="1:38" s="19" customFormat="1" ht="30">
      <c r="A21" s="44">
        <v>14</v>
      </c>
      <c r="B21" s="42" t="s">
        <v>27</v>
      </c>
      <c r="C21" s="14" t="s">
        <v>284</v>
      </c>
      <c r="D21" s="10" t="s">
        <v>59</v>
      </c>
      <c r="E21" s="3" t="s">
        <v>60</v>
      </c>
      <c r="F21" s="4">
        <v>8600</v>
      </c>
      <c r="G21" s="4"/>
      <c r="H21" s="7">
        <v>5376</v>
      </c>
      <c r="I21" s="5">
        <v>1764</v>
      </c>
      <c r="J21" s="4">
        <v>1672</v>
      </c>
      <c r="K21" s="4"/>
      <c r="L21" s="4"/>
      <c r="M21" s="4"/>
      <c r="N21" s="4">
        <v>1464</v>
      </c>
      <c r="O21" s="4">
        <f>1440+1640.49</f>
        <v>3080.49</v>
      </c>
      <c r="P21" s="4">
        <v>1548</v>
      </c>
      <c r="Q21" s="4">
        <v>744</v>
      </c>
      <c r="R21" s="4">
        <v>1236</v>
      </c>
      <c r="S21" s="4"/>
      <c r="T21" s="4">
        <v>5376</v>
      </c>
      <c r="U21" s="4">
        <v>1764</v>
      </c>
      <c r="V21" s="4">
        <v>1672</v>
      </c>
      <c r="W21" s="4"/>
      <c r="X21" s="4"/>
      <c r="Y21" s="4"/>
      <c r="Z21" s="4">
        <v>1464</v>
      </c>
      <c r="AA21" s="4">
        <f>1440+1570.8+69.69</f>
        <v>3080.4900000000002</v>
      </c>
      <c r="AB21" s="4">
        <v>1548</v>
      </c>
      <c r="AC21" s="4">
        <v>744</v>
      </c>
      <c r="AD21" s="4">
        <v>1236</v>
      </c>
      <c r="AE21" s="5">
        <v>11715.51</v>
      </c>
      <c r="AF21" s="4">
        <v>20000</v>
      </c>
      <c r="AG21" s="4">
        <f t="shared" si="0"/>
        <v>16884.489999999998</v>
      </c>
      <c r="AH21" s="4">
        <f t="shared" si="1"/>
        <v>16884.489999999998</v>
      </c>
      <c r="AI21" s="4">
        <f t="shared" si="2"/>
        <v>16884.489999999998</v>
      </c>
      <c r="AJ21" s="4">
        <f t="shared" si="3"/>
        <v>0</v>
      </c>
      <c r="AK21" s="4">
        <f t="shared" si="4"/>
        <v>0</v>
      </c>
      <c r="AL21" s="4">
        <f t="shared" si="5"/>
        <v>0</v>
      </c>
    </row>
    <row r="22" spans="1:38" s="19" customFormat="1">
      <c r="A22" s="1">
        <v>15</v>
      </c>
      <c r="B22" s="42" t="s">
        <v>27</v>
      </c>
      <c r="C22" s="14" t="s">
        <v>62</v>
      </c>
      <c r="D22" s="10" t="s">
        <v>63</v>
      </c>
      <c r="E22" s="3" t="s">
        <v>64</v>
      </c>
      <c r="F22" s="4">
        <v>20000</v>
      </c>
      <c r="G22" s="4"/>
      <c r="H22" s="5">
        <v>6349.65</v>
      </c>
      <c r="I22" s="4">
        <v>6726.72</v>
      </c>
      <c r="J22" s="4"/>
      <c r="K22" s="4"/>
      <c r="L22" s="4">
        <v>6349.65</v>
      </c>
      <c r="M22" s="4">
        <v>4147.79</v>
      </c>
      <c r="N22" s="4">
        <f>335.4+3712.11+6721.05</f>
        <v>10768.560000000001</v>
      </c>
      <c r="O22" s="4">
        <v>10502.28</v>
      </c>
      <c r="P22" s="4">
        <v>3560.44</v>
      </c>
      <c r="Q22" s="5">
        <v>5847.43</v>
      </c>
      <c r="R22" s="5">
        <f>6657.79*2</f>
        <v>13315.58</v>
      </c>
      <c r="S22" s="4"/>
      <c r="T22" s="5">
        <v>6349.65</v>
      </c>
      <c r="U22" s="4">
        <v>6726.72</v>
      </c>
      <c r="V22" s="4"/>
      <c r="W22" s="4"/>
      <c r="X22" s="4">
        <v>6349.65</v>
      </c>
      <c r="Y22" s="4">
        <v>4147.79</v>
      </c>
      <c r="Z22" s="4">
        <f>335.4+3712.11+6721.05</f>
        <v>10768.560000000001</v>
      </c>
      <c r="AA22" s="4">
        <v>10502.28</v>
      </c>
      <c r="AB22" s="4">
        <v>3560.44</v>
      </c>
      <c r="AC22" s="4">
        <v>5847.43</v>
      </c>
      <c r="AD22" s="4">
        <v>6657.79</v>
      </c>
      <c r="AE22" s="4">
        <v>7431.9</v>
      </c>
      <c r="AF22" s="4">
        <v>55000</v>
      </c>
      <c r="AG22" s="4">
        <f t="shared" si="0"/>
        <v>67568.100000000006</v>
      </c>
      <c r="AH22" s="4">
        <f t="shared" si="1"/>
        <v>67568.099999999991</v>
      </c>
      <c r="AI22" s="4">
        <f t="shared" si="2"/>
        <v>60910.31</v>
      </c>
      <c r="AJ22" s="4">
        <f t="shared" si="3"/>
        <v>6657.7900000000081</v>
      </c>
      <c r="AK22" s="4">
        <f t="shared" si="4"/>
        <v>6657.7899999999936</v>
      </c>
      <c r="AL22" s="4">
        <f t="shared" si="5"/>
        <v>0</v>
      </c>
    </row>
    <row r="23" spans="1:38" s="19" customFormat="1" ht="30">
      <c r="A23" s="1">
        <v>16</v>
      </c>
      <c r="B23" s="42" t="s">
        <v>27</v>
      </c>
      <c r="C23" s="14" t="s">
        <v>94</v>
      </c>
      <c r="D23" s="10" t="s">
        <v>48</v>
      </c>
      <c r="E23" s="3" t="s">
        <v>48</v>
      </c>
      <c r="F23" s="4">
        <v>15000</v>
      </c>
      <c r="G23" s="4">
        <v>1400</v>
      </c>
      <c r="H23" s="4">
        <f>1575</f>
        <v>1575</v>
      </c>
      <c r="I23" s="4">
        <v>1050</v>
      </c>
      <c r="J23" s="4"/>
      <c r="K23" s="4"/>
      <c r="L23" s="4"/>
      <c r="M23" s="5"/>
      <c r="N23" s="4"/>
      <c r="O23" s="5"/>
      <c r="P23" s="4">
        <f>525+1575</f>
        <v>2100</v>
      </c>
      <c r="Q23" s="5">
        <f>2625+525+525</f>
        <v>3675</v>
      </c>
      <c r="R23" s="4"/>
      <c r="S23" s="4">
        <v>1400</v>
      </c>
      <c r="T23" s="4">
        <v>1575</v>
      </c>
      <c r="U23" s="4">
        <v>1050</v>
      </c>
      <c r="V23" s="4"/>
      <c r="W23" s="4"/>
      <c r="X23" s="5"/>
      <c r="Y23" s="5"/>
      <c r="Z23" s="4"/>
      <c r="AA23" s="4"/>
      <c r="AB23" s="4">
        <v>2100</v>
      </c>
      <c r="AC23" s="5">
        <v>3675</v>
      </c>
      <c r="AD23" s="4"/>
      <c r="AE23" s="4">
        <v>15200</v>
      </c>
      <c r="AF23" s="4">
        <v>10000</v>
      </c>
      <c r="AG23" s="4">
        <f t="shared" si="0"/>
        <v>9800</v>
      </c>
      <c r="AH23" s="4">
        <f t="shared" si="1"/>
        <v>9800</v>
      </c>
      <c r="AI23" s="4">
        <f t="shared" si="2"/>
        <v>9800</v>
      </c>
      <c r="AJ23" s="4">
        <f t="shared" si="3"/>
        <v>0</v>
      </c>
      <c r="AK23" s="4">
        <f t="shared" si="4"/>
        <v>0</v>
      </c>
      <c r="AL23" s="4">
        <f t="shared" si="5"/>
        <v>0</v>
      </c>
    </row>
    <row r="24" spans="1:38" s="19" customFormat="1" ht="30">
      <c r="A24" s="1">
        <v>17</v>
      </c>
      <c r="B24" s="42" t="s">
        <v>27</v>
      </c>
      <c r="C24" s="14" t="s">
        <v>49</v>
      </c>
      <c r="D24" s="10" t="s">
        <v>48</v>
      </c>
      <c r="E24" s="3" t="s">
        <v>48</v>
      </c>
      <c r="F24" s="4">
        <v>500</v>
      </c>
      <c r="G24" s="4"/>
      <c r="H24" s="4"/>
      <c r="I24" s="4"/>
      <c r="J24" s="4"/>
      <c r="K24" s="4"/>
      <c r="L24" s="4"/>
      <c r="M24" s="4"/>
      <c r="N24" s="5"/>
      <c r="O24" s="4"/>
      <c r="P24" s="5">
        <v>120</v>
      </c>
      <c r="Q24" s="4">
        <v>200</v>
      </c>
      <c r="R24" s="4">
        <v>80</v>
      </c>
      <c r="S24" s="4"/>
      <c r="T24" s="4"/>
      <c r="U24" s="4"/>
      <c r="V24" s="4"/>
      <c r="W24" s="4"/>
      <c r="X24" s="4"/>
      <c r="Y24" s="4"/>
      <c r="Z24" s="5"/>
      <c r="AA24" s="4"/>
      <c r="AB24" s="5">
        <v>120</v>
      </c>
      <c r="AC24" s="4">
        <v>200</v>
      </c>
      <c r="AD24" s="4">
        <v>80</v>
      </c>
      <c r="AE24" s="4">
        <v>600</v>
      </c>
      <c r="AF24" s="4">
        <v>500</v>
      </c>
      <c r="AG24" s="4">
        <f t="shared" si="0"/>
        <v>400</v>
      </c>
      <c r="AH24" s="4">
        <f t="shared" si="1"/>
        <v>400</v>
      </c>
      <c r="AI24" s="4">
        <f t="shared" si="2"/>
        <v>400</v>
      </c>
      <c r="AJ24" s="4">
        <f t="shared" si="3"/>
        <v>0</v>
      </c>
      <c r="AK24" s="4">
        <f t="shared" si="4"/>
        <v>0</v>
      </c>
      <c r="AL24" s="4">
        <f t="shared" si="5"/>
        <v>0</v>
      </c>
    </row>
    <row r="25" spans="1:38" s="19" customFormat="1">
      <c r="A25" s="1">
        <v>18</v>
      </c>
      <c r="B25" s="42" t="s">
        <v>27</v>
      </c>
      <c r="C25" s="14" t="s">
        <v>95</v>
      </c>
      <c r="D25" s="10" t="s">
        <v>68</v>
      </c>
      <c r="E25" s="3" t="s">
        <v>69</v>
      </c>
      <c r="F25" s="4">
        <v>21942.34</v>
      </c>
      <c r="G25" s="4"/>
      <c r="H25" s="4">
        <v>21942.34</v>
      </c>
      <c r="I25" s="4"/>
      <c r="J25" s="4"/>
      <c r="K25" s="4"/>
      <c r="L25" s="4"/>
      <c r="M25" s="5"/>
      <c r="N25" s="4"/>
      <c r="O25" s="4"/>
      <c r="P25" s="4"/>
      <c r="Q25" s="4"/>
      <c r="R25" s="4"/>
      <c r="S25" s="4"/>
      <c r="T25" s="4">
        <v>21942.34</v>
      </c>
      <c r="U25" s="4"/>
      <c r="V25" s="4"/>
      <c r="W25" s="4"/>
      <c r="X25" s="5"/>
      <c r="Y25" s="4"/>
      <c r="Z25" s="4"/>
      <c r="AA25" s="4"/>
      <c r="AB25" s="4"/>
      <c r="AC25" s="4"/>
      <c r="AD25" s="4"/>
      <c r="AE25" s="4"/>
      <c r="AF25" s="4"/>
      <c r="AG25" s="4">
        <f t="shared" si="0"/>
        <v>21942.34</v>
      </c>
      <c r="AH25" s="4">
        <f t="shared" si="1"/>
        <v>21942.34</v>
      </c>
      <c r="AI25" s="4">
        <f t="shared" si="2"/>
        <v>21942.34</v>
      </c>
      <c r="AJ25" s="4">
        <f t="shared" si="3"/>
        <v>0</v>
      </c>
      <c r="AK25" s="4">
        <f t="shared" si="4"/>
        <v>0</v>
      </c>
      <c r="AL25" s="4">
        <f t="shared" si="5"/>
        <v>0</v>
      </c>
    </row>
    <row r="26" spans="1:38" s="19" customFormat="1" ht="75">
      <c r="A26" s="1">
        <v>19</v>
      </c>
      <c r="B26" s="42" t="s">
        <v>27</v>
      </c>
      <c r="C26" s="14" t="s">
        <v>285</v>
      </c>
      <c r="D26" s="10" t="s">
        <v>88</v>
      </c>
      <c r="E26" s="3" t="s">
        <v>82</v>
      </c>
      <c r="F26" s="4">
        <v>2226.4699999999998</v>
      </c>
      <c r="G26" s="5"/>
      <c r="H26" s="4">
        <v>750.78</v>
      </c>
      <c r="I26" s="4"/>
      <c r="J26" s="4"/>
      <c r="K26" s="4">
        <f>313.29 + 77.91</f>
        <v>391.20000000000005</v>
      </c>
      <c r="L26" s="4">
        <v>906.57</v>
      </c>
      <c r="M26" s="5"/>
      <c r="N26" s="4"/>
      <c r="O26" s="4"/>
      <c r="P26" s="4"/>
      <c r="Q26" s="5"/>
      <c r="R26" s="4"/>
      <c r="S26" s="4"/>
      <c r="T26" s="4">
        <v>750.78</v>
      </c>
      <c r="U26" s="4"/>
      <c r="V26" s="4"/>
      <c r="W26" s="4">
        <f>313.29 + 77.91</f>
        <v>391.20000000000005</v>
      </c>
      <c r="X26" s="4">
        <v>906.57</v>
      </c>
      <c r="Y26" s="4"/>
      <c r="Z26" s="5"/>
      <c r="AA26" s="4"/>
      <c r="AB26" s="4"/>
      <c r="AC26" s="4"/>
      <c r="AD26" s="4"/>
      <c r="AE26" s="4">
        <v>177.92</v>
      </c>
      <c r="AF26" s="4"/>
      <c r="AG26" s="4">
        <f t="shared" si="0"/>
        <v>2048.5499999999997</v>
      </c>
      <c r="AH26" s="4">
        <f t="shared" si="1"/>
        <v>2048.5500000000002</v>
      </c>
      <c r="AI26" s="4">
        <f t="shared" si="2"/>
        <v>2048.5500000000002</v>
      </c>
      <c r="AJ26" s="4">
        <f t="shared" si="3"/>
        <v>-4.5474735088646412E-13</v>
      </c>
      <c r="AK26" s="4">
        <f t="shared" si="4"/>
        <v>0</v>
      </c>
      <c r="AL26" s="4">
        <f t="shared" si="5"/>
        <v>0</v>
      </c>
    </row>
    <row r="27" spans="1:38" s="19" customFormat="1" ht="90">
      <c r="A27" s="1">
        <v>20</v>
      </c>
      <c r="B27" s="42" t="s">
        <v>27</v>
      </c>
      <c r="C27" s="14" t="s">
        <v>286</v>
      </c>
      <c r="D27" s="10" t="s">
        <v>80</v>
      </c>
      <c r="E27" s="8" t="s">
        <v>81</v>
      </c>
      <c r="F27" s="4">
        <v>8412.8700000000008</v>
      </c>
      <c r="G27" s="4">
        <v>2684.96</v>
      </c>
      <c r="H27" s="4"/>
      <c r="I27" s="5">
        <v>2598.23</v>
      </c>
      <c r="J27" s="5">
        <v>2621.89</v>
      </c>
      <c r="K27" s="4"/>
      <c r="L27" s="4"/>
      <c r="M27" s="4"/>
      <c r="N27" s="4"/>
      <c r="O27" s="5"/>
      <c r="P27" s="4"/>
      <c r="Q27" s="5"/>
      <c r="R27" s="4"/>
      <c r="S27" s="4">
        <v>2684.96</v>
      </c>
      <c r="T27" s="4"/>
      <c r="U27" s="4">
        <v>2598.23</v>
      </c>
      <c r="V27" s="4">
        <v>2621.89</v>
      </c>
      <c r="W27" s="4"/>
      <c r="X27" s="4"/>
      <c r="Y27" s="5"/>
      <c r="Z27" s="4"/>
      <c r="AA27" s="4"/>
      <c r="AB27" s="5"/>
      <c r="AC27" s="4"/>
      <c r="AD27" s="4"/>
      <c r="AE27" s="4">
        <v>507.79</v>
      </c>
      <c r="AF27" s="4"/>
      <c r="AG27" s="4">
        <f t="shared" si="0"/>
        <v>7905.0800000000008</v>
      </c>
      <c r="AH27" s="4">
        <f t="shared" si="1"/>
        <v>7905.08</v>
      </c>
      <c r="AI27" s="4">
        <f t="shared" si="2"/>
        <v>7905.08</v>
      </c>
      <c r="AJ27" s="4">
        <f t="shared" si="3"/>
        <v>9.0949470177292824E-13</v>
      </c>
      <c r="AK27" s="4">
        <f t="shared" si="4"/>
        <v>0</v>
      </c>
      <c r="AL27" s="4">
        <f t="shared" si="5"/>
        <v>0</v>
      </c>
    </row>
    <row r="28" spans="1:38" s="19" customFormat="1">
      <c r="A28" s="1">
        <v>21</v>
      </c>
      <c r="B28" s="42" t="s">
        <v>87</v>
      </c>
      <c r="C28" s="14" t="s">
        <v>96</v>
      </c>
      <c r="D28" s="10" t="s">
        <v>97</v>
      </c>
      <c r="E28" s="3" t="s">
        <v>98</v>
      </c>
      <c r="F28" s="4">
        <v>587.91999999999996</v>
      </c>
      <c r="G28" s="4">
        <v>587.91999999999996</v>
      </c>
      <c r="H28" s="4"/>
      <c r="I28" s="4"/>
      <c r="J28" s="4"/>
      <c r="K28" s="4"/>
      <c r="L28" s="4"/>
      <c r="M28" s="4"/>
      <c r="N28" s="4"/>
      <c r="O28" s="4"/>
      <c r="P28" s="4"/>
      <c r="Q28" s="5"/>
      <c r="R28" s="4"/>
      <c r="S28" s="4">
        <v>587.91999999999996</v>
      </c>
      <c r="T28" s="4"/>
      <c r="U28" s="4"/>
      <c r="V28" s="4"/>
      <c r="W28" s="4"/>
      <c r="X28" s="4"/>
      <c r="Y28" s="4"/>
      <c r="Z28" s="5"/>
      <c r="AA28" s="4"/>
      <c r="AB28" s="5"/>
      <c r="AC28" s="5"/>
      <c r="AD28" s="5"/>
      <c r="AE28" s="4"/>
      <c r="AF28" s="4"/>
      <c r="AG28" s="4">
        <f t="shared" si="0"/>
        <v>587.91999999999996</v>
      </c>
      <c r="AH28" s="4">
        <f t="shared" si="1"/>
        <v>587.91999999999996</v>
      </c>
      <c r="AI28" s="4">
        <f t="shared" si="2"/>
        <v>587.91999999999996</v>
      </c>
      <c r="AJ28" s="4">
        <f t="shared" si="3"/>
        <v>0</v>
      </c>
      <c r="AK28" s="4">
        <f t="shared" si="4"/>
        <v>0</v>
      </c>
      <c r="AL28" s="4">
        <f t="shared" si="5"/>
        <v>0</v>
      </c>
    </row>
    <row r="29" spans="1:38" s="19" customFormat="1">
      <c r="A29" s="1">
        <v>22</v>
      </c>
      <c r="B29" s="42" t="s">
        <v>87</v>
      </c>
      <c r="C29" s="14" t="s">
        <v>96</v>
      </c>
      <c r="D29" s="10" t="s">
        <v>99</v>
      </c>
      <c r="E29" s="3" t="s">
        <v>100</v>
      </c>
      <c r="F29" s="4">
        <v>345.83</v>
      </c>
      <c r="G29" s="5">
        <v>345.83</v>
      </c>
      <c r="H29" s="4"/>
      <c r="I29" s="4"/>
      <c r="J29" s="4"/>
      <c r="K29" s="4"/>
      <c r="L29" s="4"/>
      <c r="M29" s="4"/>
      <c r="N29" s="4"/>
      <c r="O29" s="4"/>
      <c r="P29" s="4"/>
      <c r="Q29" s="5"/>
      <c r="R29" s="5"/>
      <c r="S29" s="4">
        <v>345.83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>
        <f t="shared" si="0"/>
        <v>345.83</v>
      </c>
      <c r="AH29" s="4">
        <f t="shared" si="1"/>
        <v>345.83</v>
      </c>
      <c r="AI29" s="4">
        <f t="shared" si="2"/>
        <v>345.83</v>
      </c>
      <c r="AJ29" s="4">
        <f t="shared" si="3"/>
        <v>0</v>
      </c>
      <c r="AK29" s="4">
        <f t="shared" si="4"/>
        <v>0</v>
      </c>
      <c r="AL29" s="4">
        <f t="shared" si="5"/>
        <v>0</v>
      </c>
    </row>
    <row r="30" spans="1:38" s="19" customFormat="1">
      <c r="A30" s="1">
        <v>23</v>
      </c>
      <c r="B30" s="42" t="s">
        <v>87</v>
      </c>
      <c r="C30" s="14" t="s">
        <v>96</v>
      </c>
      <c r="D30" s="10" t="s">
        <v>101</v>
      </c>
      <c r="E30" s="3" t="s">
        <v>102</v>
      </c>
      <c r="F30" s="4">
        <v>415</v>
      </c>
      <c r="G30" s="4">
        <v>415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415</v>
      </c>
      <c r="T30" s="4"/>
      <c r="U30" s="4"/>
      <c r="V30" s="4"/>
      <c r="W30" s="4"/>
      <c r="X30" s="5"/>
      <c r="Y30" s="4"/>
      <c r="Z30" s="4"/>
      <c r="AA30" s="4"/>
      <c r="AB30" s="4"/>
      <c r="AC30" s="4"/>
      <c r="AD30" s="5"/>
      <c r="AE30" s="4"/>
      <c r="AF30" s="4"/>
      <c r="AG30" s="4">
        <f t="shared" si="0"/>
        <v>415</v>
      </c>
      <c r="AH30" s="4">
        <f t="shared" si="1"/>
        <v>415</v>
      </c>
      <c r="AI30" s="4">
        <f t="shared" si="2"/>
        <v>415</v>
      </c>
      <c r="AJ30" s="4">
        <f t="shared" si="3"/>
        <v>0</v>
      </c>
      <c r="AK30" s="4">
        <f t="shared" si="4"/>
        <v>0</v>
      </c>
      <c r="AL30" s="4">
        <f t="shared" si="5"/>
        <v>0</v>
      </c>
    </row>
    <row r="31" spans="1:38" s="19" customFormat="1" ht="45">
      <c r="A31" s="1">
        <v>24</v>
      </c>
      <c r="B31" s="42" t="s">
        <v>87</v>
      </c>
      <c r="C31" s="14" t="s">
        <v>39</v>
      </c>
      <c r="D31" s="10" t="s">
        <v>40</v>
      </c>
      <c r="E31" s="3" t="s">
        <v>41</v>
      </c>
      <c r="F31" s="4">
        <v>12584.9</v>
      </c>
      <c r="G31" s="4"/>
      <c r="H31" s="7">
        <v>12584.9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v>12584.9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/>
      <c r="AG31" s="4">
        <f t="shared" si="0"/>
        <v>12584.9</v>
      </c>
      <c r="AH31" s="4">
        <f t="shared" si="1"/>
        <v>12584.9</v>
      </c>
      <c r="AI31" s="4">
        <f t="shared" si="2"/>
        <v>12584.9</v>
      </c>
      <c r="AJ31" s="4">
        <f t="shared" si="3"/>
        <v>0</v>
      </c>
      <c r="AK31" s="4">
        <f t="shared" si="4"/>
        <v>0</v>
      </c>
      <c r="AL31" s="4">
        <f t="shared" si="5"/>
        <v>0</v>
      </c>
    </row>
    <row r="32" spans="1:38" s="19" customFormat="1" ht="45">
      <c r="A32" s="1">
        <v>25</v>
      </c>
      <c r="B32" s="42" t="s">
        <v>27</v>
      </c>
      <c r="C32" s="14" t="s">
        <v>39</v>
      </c>
      <c r="D32" s="10" t="s">
        <v>40</v>
      </c>
      <c r="E32" s="3" t="s">
        <v>41</v>
      </c>
      <c r="F32" s="4">
        <v>37000</v>
      </c>
      <c r="G32" s="4"/>
      <c r="H32" s="4"/>
      <c r="I32" s="5">
        <v>8363.08</v>
      </c>
      <c r="J32" s="4">
        <v>7239.02</v>
      </c>
      <c r="K32" s="4">
        <v>10746.22</v>
      </c>
      <c r="L32" s="5">
        <f>7223.86+9723.8</f>
        <v>16947.66</v>
      </c>
      <c r="M32" s="23"/>
      <c r="N32" s="4">
        <f>7313.48+8964.02</f>
        <v>16277.5</v>
      </c>
      <c r="O32" s="4">
        <v>10614.94</v>
      </c>
      <c r="P32" s="4">
        <v>11507.84</v>
      </c>
      <c r="Q32" s="4">
        <v>10030.64</v>
      </c>
      <c r="R32" s="4">
        <v>10485.1</v>
      </c>
      <c r="S32" s="4"/>
      <c r="T32" s="4"/>
      <c r="U32" s="5">
        <v>8363.08</v>
      </c>
      <c r="V32" s="4">
        <v>7239.02</v>
      </c>
      <c r="W32" s="4">
        <v>10746.22</v>
      </c>
      <c r="X32" s="4">
        <f>7223.86+9723.8</f>
        <v>16947.66</v>
      </c>
      <c r="Y32" s="4"/>
      <c r="Z32" s="4">
        <f>7313.48+8964.02</f>
        <v>16277.5</v>
      </c>
      <c r="AA32" s="4">
        <v>10614.94</v>
      </c>
      <c r="AB32" s="4">
        <v>11507.84</v>
      </c>
      <c r="AC32" s="4">
        <v>10030.64</v>
      </c>
      <c r="AD32" s="4">
        <v>10485.1</v>
      </c>
      <c r="AE32" s="4">
        <v>15788</v>
      </c>
      <c r="AF32" s="4">
        <v>81000</v>
      </c>
      <c r="AG32" s="4">
        <f t="shared" si="0"/>
        <v>102212</v>
      </c>
      <c r="AH32" s="4">
        <f t="shared" si="1"/>
        <v>102212</v>
      </c>
      <c r="AI32" s="4">
        <f t="shared" si="2"/>
        <v>102212</v>
      </c>
      <c r="AJ32" s="4">
        <f t="shared" si="3"/>
        <v>0</v>
      </c>
      <c r="AK32" s="4">
        <f t="shared" si="4"/>
        <v>0</v>
      </c>
      <c r="AL32" s="4">
        <f t="shared" si="5"/>
        <v>0</v>
      </c>
    </row>
    <row r="33" spans="1:38" s="19" customFormat="1" ht="90">
      <c r="A33" s="1">
        <v>26</v>
      </c>
      <c r="B33" s="42" t="s">
        <v>27</v>
      </c>
      <c r="C33" s="14" t="s">
        <v>287</v>
      </c>
      <c r="D33" s="10" t="s">
        <v>70</v>
      </c>
      <c r="E33" s="3" t="s">
        <v>71</v>
      </c>
      <c r="F33" s="4">
        <v>10000</v>
      </c>
      <c r="G33" s="4"/>
      <c r="H33" s="4">
        <v>2884.89</v>
      </c>
      <c r="I33" s="4">
        <v>2243.4</v>
      </c>
      <c r="J33" s="4"/>
      <c r="K33" s="4">
        <v>1254.8</v>
      </c>
      <c r="L33" s="4">
        <v>1666.55</v>
      </c>
      <c r="M33" s="4">
        <f>2377.57+2794.45</f>
        <v>5172.0200000000004</v>
      </c>
      <c r="N33" s="4">
        <v>3226.09</v>
      </c>
      <c r="O33" s="4">
        <v>2230.5</v>
      </c>
      <c r="P33" s="4">
        <v>3583</v>
      </c>
      <c r="Q33" s="4"/>
      <c r="R33" s="4"/>
      <c r="S33" s="4"/>
      <c r="T33" s="4">
        <v>2884.89</v>
      </c>
      <c r="U33" s="4">
        <v>2243.4</v>
      </c>
      <c r="V33" s="4"/>
      <c r="W33" s="4">
        <v>1254.8</v>
      </c>
      <c r="X33" s="4">
        <v>1666.55</v>
      </c>
      <c r="Y33" s="4">
        <f>2377.57+2794.45</f>
        <v>5172.0200000000004</v>
      </c>
      <c r="Z33" s="4">
        <v>3226.09</v>
      </c>
      <c r="AA33" s="4">
        <v>2230.5</v>
      </c>
      <c r="AB33" s="4">
        <v>3583</v>
      </c>
      <c r="AC33" s="4"/>
      <c r="AD33" s="4"/>
      <c r="AE33" s="4">
        <v>9738.75</v>
      </c>
      <c r="AF33" s="4">
        <v>22000</v>
      </c>
      <c r="AG33" s="4">
        <f t="shared" si="0"/>
        <v>22261.25</v>
      </c>
      <c r="AH33" s="4">
        <f t="shared" si="1"/>
        <v>22261.25</v>
      </c>
      <c r="AI33" s="4">
        <f t="shared" si="2"/>
        <v>22261.25</v>
      </c>
      <c r="AJ33" s="4">
        <f t="shared" si="3"/>
        <v>0</v>
      </c>
      <c r="AK33" s="4">
        <f t="shared" si="4"/>
        <v>0</v>
      </c>
      <c r="AL33" s="4">
        <f t="shared" si="5"/>
        <v>0</v>
      </c>
    </row>
    <row r="34" spans="1:38" s="19" customFormat="1" ht="30">
      <c r="A34" s="1">
        <v>27</v>
      </c>
      <c r="B34" s="42" t="s">
        <v>27</v>
      </c>
      <c r="C34" s="14" t="s">
        <v>28</v>
      </c>
      <c r="D34" s="10" t="s">
        <v>29</v>
      </c>
      <c r="E34" s="3" t="s">
        <v>30</v>
      </c>
      <c r="F34" s="4">
        <v>3000</v>
      </c>
      <c r="G34" s="4"/>
      <c r="H34" s="5">
        <v>298.92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>
        <v>298.92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v>2701.08</v>
      </c>
      <c r="AF34" s="4"/>
      <c r="AG34" s="4">
        <f t="shared" si="0"/>
        <v>298.92000000000007</v>
      </c>
      <c r="AH34" s="4">
        <f t="shared" si="1"/>
        <v>298.92</v>
      </c>
      <c r="AI34" s="4">
        <f t="shared" si="2"/>
        <v>298.92</v>
      </c>
      <c r="AJ34" s="4">
        <f t="shared" si="3"/>
        <v>5.6843418860808015E-14</v>
      </c>
      <c r="AK34" s="4">
        <f t="shared" si="4"/>
        <v>0</v>
      </c>
      <c r="AL34" s="4">
        <f t="shared" si="5"/>
        <v>0</v>
      </c>
    </row>
    <row r="35" spans="1:38" s="19" customFormat="1" ht="30">
      <c r="A35" s="1">
        <v>28</v>
      </c>
      <c r="B35" s="42" t="s">
        <v>27</v>
      </c>
      <c r="C35" s="14" t="s">
        <v>55</v>
      </c>
      <c r="D35" s="10" t="s">
        <v>56</v>
      </c>
      <c r="E35" s="3" t="s">
        <v>57</v>
      </c>
      <c r="F35" s="4">
        <v>10000</v>
      </c>
      <c r="G35" s="4"/>
      <c r="H35" s="4">
        <v>296.98</v>
      </c>
      <c r="I35" s="4"/>
      <c r="J35" s="4"/>
      <c r="K35" s="4"/>
      <c r="L35" s="4"/>
      <c r="M35" s="4"/>
      <c r="N35" s="5"/>
      <c r="O35" s="4"/>
      <c r="P35" s="4"/>
      <c r="Q35" s="4"/>
      <c r="R35" s="4"/>
      <c r="S35" s="4"/>
      <c r="T35" s="4">
        <v>296.98</v>
      </c>
      <c r="U35" s="4"/>
      <c r="V35" s="4"/>
      <c r="W35" s="4"/>
      <c r="X35" s="4"/>
      <c r="Y35" s="5"/>
      <c r="Z35" s="5"/>
      <c r="AA35" s="4"/>
      <c r="AB35" s="4"/>
      <c r="AC35" s="4"/>
      <c r="AD35" s="4"/>
      <c r="AE35" s="4">
        <v>9703.02</v>
      </c>
      <c r="AF35" s="4"/>
      <c r="AG35" s="4">
        <f t="shared" si="0"/>
        <v>296.97999999999956</v>
      </c>
      <c r="AH35" s="4">
        <f t="shared" si="1"/>
        <v>296.98</v>
      </c>
      <c r="AI35" s="4">
        <f t="shared" si="2"/>
        <v>296.98</v>
      </c>
      <c r="AJ35" s="4">
        <f t="shared" si="3"/>
        <v>-4.5474735088646412E-13</v>
      </c>
      <c r="AK35" s="4">
        <f t="shared" si="4"/>
        <v>0</v>
      </c>
      <c r="AL35" s="4">
        <f t="shared" si="5"/>
        <v>-4.5474735088646412E-13</v>
      </c>
    </row>
    <row r="36" spans="1:38" s="19" customFormat="1" ht="195">
      <c r="A36" s="1">
        <v>29</v>
      </c>
      <c r="B36" s="42" t="s">
        <v>26</v>
      </c>
      <c r="C36" s="14" t="s">
        <v>226</v>
      </c>
      <c r="D36" s="10" t="s">
        <v>103</v>
      </c>
      <c r="E36" s="3" t="s">
        <v>86</v>
      </c>
      <c r="F36" s="4">
        <v>1900</v>
      </c>
      <c r="G36" s="4">
        <v>1900</v>
      </c>
      <c r="H36" s="4"/>
      <c r="I36" s="4"/>
      <c r="J36" s="4"/>
      <c r="K36" s="4"/>
      <c r="L36" s="4"/>
      <c r="M36" s="4"/>
      <c r="N36" s="4"/>
      <c r="O36" s="4"/>
      <c r="P36" s="5"/>
      <c r="Q36" s="4"/>
      <c r="R36" s="5"/>
      <c r="S36" s="4"/>
      <c r="T36" s="4">
        <v>1900</v>
      </c>
      <c r="U36" s="4"/>
      <c r="V36" s="4"/>
      <c r="W36" s="4"/>
      <c r="X36" s="4"/>
      <c r="Y36" s="4"/>
      <c r="Z36" s="5"/>
      <c r="AA36" s="4"/>
      <c r="AB36" s="5"/>
      <c r="AC36" s="5"/>
      <c r="AD36" s="5"/>
      <c r="AE36" s="4"/>
      <c r="AF36" s="4"/>
      <c r="AG36" s="4">
        <f t="shared" si="0"/>
        <v>1900</v>
      </c>
      <c r="AH36" s="4">
        <f t="shared" si="1"/>
        <v>1900</v>
      </c>
      <c r="AI36" s="4">
        <f t="shared" si="2"/>
        <v>1900</v>
      </c>
      <c r="AJ36" s="4">
        <f t="shared" si="3"/>
        <v>0</v>
      </c>
      <c r="AK36" s="4">
        <f t="shared" si="4"/>
        <v>0</v>
      </c>
      <c r="AL36" s="4">
        <f t="shared" si="5"/>
        <v>0</v>
      </c>
    </row>
    <row r="37" spans="1:38" s="19" customFormat="1" ht="45">
      <c r="A37" s="1">
        <v>30</v>
      </c>
      <c r="B37" s="42" t="s">
        <v>27</v>
      </c>
      <c r="C37" s="14" t="s">
        <v>36</v>
      </c>
      <c r="D37" s="10" t="s">
        <v>37</v>
      </c>
      <c r="E37" s="3" t="s">
        <v>38</v>
      </c>
      <c r="F37" s="4">
        <v>100000</v>
      </c>
      <c r="G37" s="4">
        <v>42500.59</v>
      </c>
      <c r="H37" s="4">
        <v>3733.18</v>
      </c>
      <c r="I37" s="4">
        <v>8255.9699999999993</v>
      </c>
      <c r="J37" s="4">
        <v>17466.38</v>
      </c>
      <c r="K37" s="4"/>
      <c r="L37" s="4"/>
      <c r="M37" s="4">
        <f>26159.05+24764.61</f>
        <v>50923.66</v>
      </c>
      <c r="N37" s="4"/>
      <c r="O37" s="4">
        <v>41610.559999999998</v>
      </c>
      <c r="P37" s="4"/>
      <c r="Q37" s="4"/>
      <c r="R37" s="4"/>
      <c r="S37" s="4"/>
      <c r="T37" s="4">
        <v>46233.77</v>
      </c>
      <c r="U37" s="4">
        <v>8255.9699999999993</v>
      </c>
      <c r="V37" s="4">
        <v>17466.38</v>
      </c>
      <c r="W37" s="4"/>
      <c r="X37" s="4"/>
      <c r="Y37" s="4">
        <f>26159.05+24764.61</f>
        <v>50923.66</v>
      </c>
      <c r="Z37" s="4"/>
      <c r="AA37" s="4">
        <v>41610.559999999998</v>
      </c>
      <c r="AB37" s="4"/>
      <c r="AC37" s="4"/>
      <c r="AD37" s="4"/>
      <c r="AE37" s="4">
        <v>65509.66</v>
      </c>
      <c r="AF37" s="4">
        <v>130000</v>
      </c>
      <c r="AG37" s="4">
        <f t="shared" si="0"/>
        <v>164490.34</v>
      </c>
      <c r="AH37" s="4">
        <f t="shared" si="1"/>
        <v>164490.34</v>
      </c>
      <c r="AI37" s="4">
        <f t="shared" si="2"/>
        <v>164490.34</v>
      </c>
      <c r="AJ37" s="4">
        <f t="shared" si="3"/>
        <v>0</v>
      </c>
      <c r="AK37" s="4">
        <f t="shared" si="4"/>
        <v>0</v>
      </c>
      <c r="AL37" s="4">
        <f t="shared" si="5"/>
        <v>0</v>
      </c>
    </row>
    <row r="38" spans="1:38" s="19" customFormat="1" ht="45">
      <c r="A38" s="1">
        <v>31</v>
      </c>
      <c r="B38" s="42" t="s">
        <v>27</v>
      </c>
      <c r="C38" s="14" t="s">
        <v>227</v>
      </c>
      <c r="D38" s="10" t="s">
        <v>31</v>
      </c>
      <c r="E38" s="3" t="s">
        <v>32</v>
      </c>
      <c r="F38" s="4">
        <v>180000</v>
      </c>
      <c r="G38" s="5" t="s">
        <v>175</v>
      </c>
      <c r="H38" s="4">
        <v>75155.97</v>
      </c>
      <c r="I38" s="4"/>
      <c r="J38" s="4">
        <v>80056.11</v>
      </c>
      <c r="K38" s="4">
        <f>82841.98+55997.83</f>
        <v>138839.81</v>
      </c>
      <c r="L38" s="4">
        <v>45989.74</v>
      </c>
      <c r="M38" s="4"/>
      <c r="N38" s="4">
        <v>52786.62</v>
      </c>
      <c r="O38" s="4">
        <f>68585.19+70641.34</f>
        <v>139226.53</v>
      </c>
      <c r="P38" s="4">
        <v>70442.22</v>
      </c>
      <c r="Q38" s="5">
        <v>77124.149999999994</v>
      </c>
      <c r="R38" s="4">
        <f>67029.49+68958.7</f>
        <v>135988.19</v>
      </c>
      <c r="S38" s="4"/>
      <c r="T38" s="5">
        <v>75155.97</v>
      </c>
      <c r="U38" s="5"/>
      <c r="V38" s="5">
        <v>80056.11</v>
      </c>
      <c r="W38" s="5">
        <f>82841.98+55997.83</f>
        <v>138839.81</v>
      </c>
      <c r="X38" s="4">
        <v>45989.74</v>
      </c>
      <c r="Y38" s="4"/>
      <c r="Z38" s="4">
        <v>52786.62</v>
      </c>
      <c r="AA38" s="4">
        <f>68585.19+70641.34</f>
        <v>139226.53</v>
      </c>
      <c r="AB38" s="4">
        <v>70442.22</v>
      </c>
      <c r="AC38" s="5">
        <v>77124.149999999994</v>
      </c>
      <c r="AD38" s="4">
        <f>67029.49+68958.7</f>
        <v>135988.19</v>
      </c>
      <c r="AE38" s="4">
        <v>34390.660000000003</v>
      </c>
      <c r="AF38" s="4">
        <v>670000</v>
      </c>
      <c r="AG38" s="4">
        <f t="shared" si="0"/>
        <v>815609.34</v>
      </c>
      <c r="AH38" s="4">
        <f t="shared" si="1"/>
        <v>815609.34000000008</v>
      </c>
      <c r="AI38" s="4">
        <f t="shared" si="2"/>
        <v>815609.34000000008</v>
      </c>
      <c r="AJ38" s="4">
        <f t="shared" si="3"/>
        <v>-1.1641532182693481E-10</v>
      </c>
      <c r="AK38" s="4">
        <f t="shared" si="4"/>
        <v>0</v>
      </c>
      <c r="AL38" s="4">
        <f t="shared" si="5"/>
        <v>0</v>
      </c>
    </row>
    <row r="39" spans="1:38" s="19" customFormat="1" ht="45">
      <c r="A39" s="1">
        <v>32</v>
      </c>
      <c r="B39" s="42" t="s">
        <v>26</v>
      </c>
      <c r="C39" s="14" t="s">
        <v>227</v>
      </c>
      <c r="D39" s="10" t="s">
        <v>31</v>
      </c>
      <c r="E39" s="3" t="s">
        <v>32</v>
      </c>
      <c r="F39" s="4">
        <v>80635.98</v>
      </c>
      <c r="G39" s="4">
        <v>80635.98</v>
      </c>
      <c r="H39" s="4"/>
      <c r="I39" s="4"/>
      <c r="J39" s="4"/>
      <c r="K39" s="4"/>
      <c r="L39" s="4"/>
      <c r="M39" s="4"/>
      <c r="N39" s="4"/>
      <c r="O39" s="4"/>
      <c r="P39" s="4"/>
      <c r="Q39" s="5"/>
      <c r="R39" s="4"/>
      <c r="S39" s="4"/>
      <c r="T39" s="4">
        <v>80635.98</v>
      </c>
      <c r="U39" s="4"/>
      <c r="V39" s="4"/>
      <c r="W39" s="4"/>
      <c r="X39" s="4"/>
      <c r="Y39" s="4"/>
      <c r="Z39" s="4"/>
      <c r="AA39" s="4"/>
      <c r="AB39" s="4"/>
      <c r="AC39" s="5"/>
      <c r="AD39" s="4"/>
      <c r="AE39" s="4"/>
      <c r="AF39" s="4"/>
      <c r="AG39" s="4">
        <f t="shared" si="0"/>
        <v>80635.98</v>
      </c>
      <c r="AH39" s="4">
        <f t="shared" si="1"/>
        <v>80635.98</v>
      </c>
      <c r="AI39" s="4">
        <f t="shared" si="2"/>
        <v>80635.98</v>
      </c>
      <c r="AJ39" s="4">
        <f t="shared" si="3"/>
        <v>0</v>
      </c>
      <c r="AK39" s="4">
        <f t="shared" si="4"/>
        <v>0</v>
      </c>
      <c r="AL39" s="4">
        <f t="shared" si="5"/>
        <v>0</v>
      </c>
    </row>
    <row r="40" spans="1:38" s="19" customFormat="1" ht="60">
      <c r="A40" s="1">
        <v>33</v>
      </c>
      <c r="B40" s="42" t="s">
        <v>104</v>
      </c>
      <c r="C40" s="14" t="s">
        <v>288</v>
      </c>
      <c r="D40" s="10" t="s">
        <v>42</v>
      </c>
      <c r="E40" s="3" t="s">
        <v>43</v>
      </c>
      <c r="F40" s="7">
        <v>18000</v>
      </c>
      <c r="G40" s="7"/>
      <c r="H40" s="21">
        <v>8707.68</v>
      </c>
      <c r="I40" s="7">
        <v>8707.68</v>
      </c>
      <c r="J40" s="7">
        <v>8707.68</v>
      </c>
      <c r="K40" s="7"/>
      <c r="L40" s="7">
        <f>8707.68+8707.68</f>
        <v>17415.36</v>
      </c>
      <c r="M40" s="7">
        <v>8707.68</v>
      </c>
      <c r="N40" s="7">
        <v>8707.68</v>
      </c>
      <c r="O40" s="7">
        <v>8707.68</v>
      </c>
      <c r="P40" s="7">
        <v>8707.68</v>
      </c>
      <c r="Q40" s="7">
        <v>8707.68</v>
      </c>
      <c r="R40" s="7">
        <f>8707.68*2</f>
        <v>17415.36</v>
      </c>
      <c r="S40" s="7"/>
      <c r="T40" s="7">
        <v>8707.68</v>
      </c>
      <c r="U40" s="7">
        <v>8707.68</v>
      </c>
      <c r="V40" s="7">
        <v>8707.68</v>
      </c>
      <c r="W40" s="7"/>
      <c r="X40" s="7">
        <f>8707.68+8707.68</f>
        <v>17415.36</v>
      </c>
      <c r="Y40" s="7">
        <v>8707.68</v>
      </c>
      <c r="Z40" s="7">
        <v>8707.68</v>
      </c>
      <c r="AA40" s="7">
        <v>8707.68</v>
      </c>
      <c r="AB40" s="7">
        <v>8707.68</v>
      </c>
      <c r="AC40" s="7">
        <v>8707.68</v>
      </c>
      <c r="AD40" s="7">
        <f>8707.68*2</f>
        <v>17415.36</v>
      </c>
      <c r="AE40" s="7">
        <v>1.84</v>
      </c>
      <c r="AF40" s="7">
        <v>86494</v>
      </c>
      <c r="AG40" s="4">
        <f t="shared" ref="AG40:AG71" si="6">F40-AE40+AF40</f>
        <v>104492.16</v>
      </c>
      <c r="AH40" s="4">
        <f t="shared" ref="AH40:AH71" si="7">SUM(G40:R40)</f>
        <v>104492.15999999999</v>
      </c>
      <c r="AI40" s="4">
        <f t="shared" ref="AI40:AI71" si="8">SUM(S40:AD40)</f>
        <v>104492.15999999999</v>
      </c>
      <c r="AJ40" s="4">
        <f t="shared" ref="AJ40:AJ71" si="9">(AH40-AI40)+(AG40-AH40)</f>
        <v>1.4551915228366852E-11</v>
      </c>
      <c r="AK40" s="4">
        <f t="shared" ref="AK40:AK71" si="10">AH40-AI40</f>
        <v>0</v>
      </c>
      <c r="AL40" s="4">
        <f t="shared" ref="AL40:AL71" si="11">AG40-AH40</f>
        <v>0</v>
      </c>
    </row>
    <row r="41" spans="1:38" s="19" customFormat="1" ht="30">
      <c r="A41" s="1">
        <v>34</v>
      </c>
      <c r="B41" s="42" t="s">
        <v>104</v>
      </c>
      <c r="C41" s="14" t="s">
        <v>33</v>
      </c>
      <c r="D41" s="10" t="s">
        <v>34</v>
      </c>
      <c r="E41" s="3" t="s">
        <v>35</v>
      </c>
      <c r="F41" s="7">
        <v>15000</v>
      </c>
      <c r="G41" s="7"/>
      <c r="H41" s="7"/>
      <c r="I41" s="7">
        <v>5922.15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>
        <v>5922.15</v>
      </c>
      <c r="V41" s="7"/>
      <c r="W41" s="7"/>
      <c r="X41" s="7"/>
      <c r="Y41" s="7"/>
      <c r="Z41" s="7"/>
      <c r="AA41" s="7"/>
      <c r="AB41" s="7"/>
      <c r="AC41" s="7"/>
      <c r="AD41" s="7"/>
      <c r="AE41" s="7">
        <v>9077.85</v>
      </c>
      <c r="AF41" s="7"/>
      <c r="AG41" s="4">
        <f t="shared" si="6"/>
        <v>5922.15</v>
      </c>
      <c r="AH41" s="4">
        <f t="shared" si="7"/>
        <v>5922.15</v>
      </c>
      <c r="AI41" s="4">
        <f t="shared" si="8"/>
        <v>5922.15</v>
      </c>
      <c r="AJ41" s="4">
        <f t="shared" si="9"/>
        <v>0</v>
      </c>
      <c r="AK41" s="4">
        <f t="shared" si="10"/>
        <v>0</v>
      </c>
      <c r="AL41" s="4">
        <f t="shared" si="11"/>
        <v>0</v>
      </c>
    </row>
    <row r="42" spans="1:38" s="19" customFormat="1" ht="45">
      <c r="A42" s="1">
        <v>35</v>
      </c>
      <c r="B42" s="42" t="s">
        <v>104</v>
      </c>
      <c r="C42" s="14" t="s">
        <v>289</v>
      </c>
      <c r="D42" s="10" t="s">
        <v>76</v>
      </c>
      <c r="E42" s="3" t="s">
        <v>77</v>
      </c>
      <c r="F42" s="4">
        <v>6923.46</v>
      </c>
      <c r="G42" s="4"/>
      <c r="H42" s="4"/>
      <c r="I42" s="4">
        <v>1709.76</v>
      </c>
      <c r="J42" s="4">
        <v>3204.82</v>
      </c>
      <c r="K42" s="7">
        <v>1214</v>
      </c>
      <c r="L42" s="4">
        <v>1144</v>
      </c>
      <c r="M42" s="4">
        <v>1427.48</v>
      </c>
      <c r="N42" s="4">
        <v>1310.68</v>
      </c>
      <c r="O42" s="4">
        <v>2299.4</v>
      </c>
      <c r="P42" s="4">
        <v>1557.68</v>
      </c>
      <c r="Q42" s="4">
        <f>1500+1455.64</f>
        <v>2955.6400000000003</v>
      </c>
      <c r="R42" s="4">
        <v>1375.22</v>
      </c>
      <c r="S42" s="4"/>
      <c r="T42" s="4"/>
      <c r="U42" s="4">
        <v>1709.76</v>
      </c>
      <c r="V42" s="4">
        <f>1657.48+1547.34</f>
        <v>3204.8199999999997</v>
      </c>
      <c r="W42" s="4">
        <v>1214</v>
      </c>
      <c r="X42" s="4">
        <v>1144</v>
      </c>
      <c r="Y42" s="4">
        <v>1427.48</v>
      </c>
      <c r="Z42" s="4">
        <v>1310.68</v>
      </c>
      <c r="AA42" s="4">
        <f>1000+1299.4</f>
        <v>2299.4</v>
      </c>
      <c r="AB42" s="4">
        <v>1557.68</v>
      </c>
      <c r="AC42" s="4">
        <f>1500+1455.64</f>
        <v>2955.6400000000003</v>
      </c>
      <c r="AD42" s="4">
        <v>1375.22</v>
      </c>
      <c r="AE42" s="4">
        <v>6736.78</v>
      </c>
      <c r="AF42" s="4">
        <v>18012</v>
      </c>
      <c r="AG42" s="4">
        <f t="shared" si="6"/>
        <v>18198.68</v>
      </c>
      <c r="AH42" s="4">
        <f t="shared" si="7"/>
        <v>18198.68</v>
      </c>
      <c r="AI42" s="4">
        <f t="shared" si="8"/>
        <v>18198.68</v>
      </c>
      <c r="AJ42" s="4">
        <f t="shared" si="9"/>
        <v>0</v>
      </c>
      <c r="AK42" s="4">
        <f t="shared" si="10"/>
        <v>0</v>
      </c>
      <c r="AL42" s="4">
        <f t="shared" si="11"/>
        <v>0</v>
      </c>
    </row>
    <row r="43" spans="1:38" s="19" customFormat="1">
      <c r="A43" s="1">
        <v>36</v>
      </c>
      <c r="B43" s="42" t="s">
        <v>26</v>
      </c>
      <c r="C43" s="14" t="s">
        <v>79</v>
      </c>
      <c r="D43" s="10" t="s">
        <v>59</v>
      </c>
      <c r="E43" s="3" t="s">
        <v>60</v>
      </c>
      <c r="F43" s="7">
        <v>1056</v>
      </c>
      <c r="G43" s="21">
        <v>1056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1">
        <v>1056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4">
        <f t="shared" si="6"/>
        <v>1056</v>
      </c>
      <c r="AH43" s="4">
        <f t="shared" si="7"/>
        <v>1056</v>
      </c>
      <c r="AI43" s="4">
        <f t="shared" si="8"/>
        <v>1056</v>
      </c>
      <c r="AJ43" s="4">
        <f t="shared" si="9"/>
        <v>0</v>
      </c>
      <c r="AK43" s="4">
        <f t="shared" si="10"/>
        <v>0</v>
      </c>
      <c r="AL43" s="4">
        <f t="shared" si="11"/>
        <v>0</v>
      </c>
    </row>
    <row r="44" spans="1:38" s="19" customFormat="1">
      <c r="A44" s="1">
        <v>37</v>
      </c>
      <c r="B44" s="42" t="s">
        <v>27</v>
      </c>
      <c r="C44" s="14" t="s">
        <v>85</v>
      </c>
      <c r="D44" s="17" t="s">
        <v>59</v>
      </c>
      <c r="E44" s="3" t="s">
        <v>60</v>
      </c>
      <c r="F44" s="4">
        <v>1000</v>
      </c>
      <c r="G44" s="4">
        <v>3.93</v>
      </c>
      <c r="H44" s="4"/>
      <c r="I44" s="4"/>
      <c r="J44" s="4"/>
      <c r="K44" s="4"/>
      <c r="L44" s="4"/>
      <c r="M44" s="4">
        <v>0.42</v>
      </c>
      <c r="N44" s="4"/>
      <c r="O44" s="4">
        <f>0.19+0.54</f>
        <v>0.73</v>
      </c>
      <c r="P44" s="4"/>
      <c r="Q44" s="4">
        <v>0.68</v>
      </c>
      <c r="R44" s="4">
        <v>6.44</v>
      </c>
      <c r="S44" s="4">
        <v>3.93</v>
      </c>
      <c r="T44" s="4"/>
      <c r="U44" s="4"/>
      <c r="V44" s="4"/>
      <c r="W44" s="4"/>
      <c r="X44" s="4"/>
      <c r="Y44" s="4">
        <v>0.42</v>
      </c>
      <c r="Z44" s="4"/>
      <c r="AA44" s="4">
        <f>0.19+0.54</f>
        <v>0.73</v>
      </c>
      <c r="AB44" s="4"/>
      <c r="AC44" s="4">
        <v>0.68</v>
      </c>
      <c r="AD44" s="4">
        <f>2.2+0.82+2.3+1.12</f>
        <v>6.44</v>
      </c>
      <c r="AE44" s="4">
        <v>970.16</v>
      </c>
      <c r="AF44" s="4"/>
      <c r="AG44" s="4">
        <f t="shared" si="6"/>
        <v>29.840000000000032</v>
      </c>
      <c r="AH44" s="4">
        <f t="shared" si="7"/>
        <v>12.2</v>
      </c>
      <c r="AI44" s="4">
        <f t="shared" si="8"/>
        <v>12.2</v>
      </c>
      <c r="AJ44" s="4">
        <f t="shared" si="9"/>
        <v>17.640000000000033</v>
      </c>
      <c r="AK44" s="4">
        <f t="shared" si="10"/>
        <v>0</v>
      </c>
      <c r="AL44" s="4">
        <f t="shared" si="11"/>
        <v>17.640000000000033</v>
      </c>
    </row>
    <row r="45" spans="1:38" s="19" customFormat="1">
      <c r="A45" s="1">
        <v>38</v>
      </c>
      <c r="B45" s="42" t="s">
        <v>27</v>
      </c>
      <c r="C45" s="14" t="s">
        <v>84</v>
      </c>
      <c r="D45" s="10" t="s">
        <v>59</v>
      </c>
      <c r="E45" s="3" t="s">
        <v>60</v>
      </c>
      <c r="F45" s="4">
        <v>1000</v>
      </c>
      <c r="G45" s="4">
        <v>10</v>
      </c>
      <c r="H45" s="4"/>
      <c r="I45" s="4"/>
      <c r="J45" s="4"/>
      <c r="K45" s="4">
        <v>49.65</v>
      </c>
      <c r="L45" s="5"/>
      <c r="M45" s="4">
        <v>4.87</v>
      </c>
      <c r="N45" s="4"/>
      <c r="O45" s="4">
        <f>7.42+2.65</f>
        <v>10.07</v>
      </c>
      <c r="P45" s="4"/>
      <c r="Q45" s="4">
        <v>9.24</v>
      </c>
      <c r="R45" s="5">
        <v>184.8</v>
      </c>
      <c r="S45" s="4">
        <v>10</v>
      </c>
      <c r="T45" s="4"/>
      <c r="U45" s="4"/>
      <c r="V45" s="4"/>
      <c r="W45" s="21">
        <v>49.65</v>
      </c>
      <c r="X45" s="23"/>
      <c r="Y45" s="5">
        <v>4.87</v>
      </c>
      <c r="Z45" s="4"/>
      <c r="AA45" s="4">
        <v>10.07</v>
      </c>
      <c r="AB45" s="4"/>
      <c r="AC45" s="4">
        <v>9.24</v>
      </c>
      <c r="AD45" s="5">
        <v>184.8</v>
      </c>
      <c r="AE45" s="4">
        <v>580.02</v>
      </c>
      <c r="AF45" s="4"/>
      <c r="AG45" s="4">
        <f t="shared" si="6"/>
        <v>419.98</v>
      </c>
      <c r="AH45" s="4">
        <f t="shared" si="7"/>
        <v>268.63</v>
      </c>
      <c r="AI45" s="4">
        <f t="shared" si="8"/>
        <v>268.63</v>
      </c>
      <c r="AJ45" s="4">
        <f t="shared" si="9"/>
        <v>151.35000000000002</v>
      </c>
      <c r="AK45" s="4">
        <f t="shared" si="10"/>
        <v>0</v>
      </c>
      <c r="AL45" s="4">
        <f t="shared" si="11"/>
        <v>151.35000000000002</v>
      </c>
    </row>
    <row r="46" spans="1:38" s="19" customFormat="1" ht="45">
      <c r="A46" s="1">
        <v>39</v>
      </c>
      <c r="B46" s="42" t="s">
        <v>26</v>
      </c>
      <c r="C46" s="14" t="s">
        <v>36</v>
      </c>
      <c r="D46" s="10" t="s">
        <v>37</v>
      </c>
      <c r="E46" s="3" t="s">
        <v>38</v>
      </c>
      <c r="F46" s="4">
        <v>310.85000000000002</v>
      </c>
      <c r="G46" s="4"/>
      <c r="H46" s="5">
        <v>310.85000000000002</v>
      </c>
      <c r="I46" s="4"/>
      <c r="J46" s="4"/>
      <c r="K46" s="4"/>
      <c r="L46" s="4"/>
      <c r="M46" s="4"/>
      <c r="N46" s="4"/>
      <c r="O46" s="4"/>
      <c r="P46" s="7"/>
      <c r="Q46" s="4"/>
      <c r="R46" s="4"/>
      <c r="S46" s="4"/>
      <c r="T46" s="4">
        <v>310.85000000000002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>
        <f t="shared" si="6"/>
        <v>310.85000000000002</v>
      </c>
      <c r="AH46" s="4">
        <f t="shared" si="7"/>
        <v>310.85000000000002</v>
      </c>
      <c r="AI46" s="4">
        <f t="shared" si="8"/>
        <v>310.85000000000002</v>
      </c>
      <c r="AJ46" s="4">
        <f t="shared" si="9"/>
        <v>0</v>
      </c>
      <c r="AK46" s="4">
        <f t="shared" si="10"/>
        <v>0</v>
      </c>
      <c r="AL46" s="4">
        <f t="shared" si="11"/>
        <v>0</v>
      </c>
    </row>
    <row r="47" spans="1:38" s="19" customFormat="1" ht="45">
      <c r="A47" s="1">
        <v>40</v>
      </c>
      <c r="B47" s="42" t="s">
        <v>26</v>
      </c>
      <c r="C47" s="14" t="s">
        <v>36</v>
      </c>
      <c r="D47" s="10" t="s">
        <v>37</v>
      </c>
      <c r="E47" s="3" t="s">
        <v>38</v>
      </c>
      <c r="F47" s="4">
        <v>1290.78</v>
      </c>
      <c r="G47" s="4"/>
      <c r="H47" s="5">
        <v>1290.78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>
        <v>1290.78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>
        <f t="shared" si="6"/>
        <v>1290.78</v>
      </c>
      <c r="AH47" s="4">
        <f t="shared" si="7"/>
        <v>1290.78</v>
      </c>
      <c r="AI47" s="4">
        <f t="shared" si="8"/>
        <v>1290.78</v>
      </c>
      <c r="AJ47" s="4">
        <f t="shared" si="9"/>
        <v>0</v>
      </c>
      <c r="AK47" s="4">
        <f t="shared" si="10"/>
        <v>0</v>
      </c>
      <c r="AL47" s="4">
        <f t="shared" si="11"/>
        <v>0</v>
      </c>
    </row>
    <row r="48" spans="1:38" s="19" customFormat="1" ht="45">
      <c r="A48" s="1">
        <v>41</v>
      </c>
      <c r="B48" s="42" t="s">
        <v>87</v>
      </c>
      <c r="C48" s="14" t="s">
        <v>105</v>
      </c>
      <c r="D48" s="10" t="s">
        <v>76</v>
      </c>
      <c r="E48" s="3" t="s">
        <v>77</v>
      </c>
      <c r="F48" s="4">
        <v>1562.46</v>
      </c>
      <c r="G48" s="4"/>
      <c r="H48" s="4">
        <v>1562.46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>
        <v>1562.46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>
        <f t="shared" si="6"/>
        <v>1562.46</v>
      </c>
      <c r="AH48" s="4">
        <f t="shared" si="7"/>
        <v>1562.46</v>
      </c>
      <c r="AI48" s="4">
        <f t="shared" si="8"/>
        <v>1562.46</v>
      </c>
      <c r="AJ48" s="4">
        <f t="shared" si="9"/>
        <v>0</v>
      </c>
      <c r="AK48" s="4">
        <f t="shared" si="10"/>
        <v>0</v>
      </c>
      <c r="AL48" s="4">
        <f t="shared" si="11"/>
        <v>0</v>
      </c>
    </row>
    <row r="49" spans="1:38" s="19" customFormat="1" ht="45">
      <c r="A49" s="1">
        <v>42</v>
      </c>
      <c r="B49" s="42" t="s">
        <v>27</v>
      </c>
      <c r="C49" s="14" t="s">
        <v>53</v>
      </c>
      <c r="D49" s="10" t="s">
        <v>54</v>
      </c>
      <c r="E49" s="3" t="s">
        <v>106</v>
      </c>
      <c r="F49" s="4">
        <v>7400</v>
      </c>
      <c r="G49" s="4"/>
      <c r="H49" s="5">
        <v>2205.6999999999998</v>
      </c>
      <c r="I49" s="4">
        <v>2673.39</v>
      </c>
      <c r="J49" s="4">
        <v>2474.39</v>
      </c>
      <c r="K49" s="4"/>
      <c r="L49" s="4">
        <f>666.03+1038.78</f>
        <v>1704.81</v>
      </c>
      <c r="M49" s="4"/>
      <c r="N49" s="4">
        <f>1194.18+1348.75</f>
        <v>2542.9300000000003</v>
      </c>
      <c r="O49" s="4">
        <f>1839.46+99.82</f>
        <v>1939.28</v>
      </c>
      <c r="P49" s="4"/>
      <c r="Q49" s="29">
        <f>1643.05+2389.97</f>
        <v>4033.0199999999995</v>
      </c>
      <c r="R49" s="4">
        <v>2353.37</v>
      </c>
      <c r="S49" s="4"/>
      <c r="T49" s="5">
        <v>2205.6999999999998</v>
      </c>
      <c r="U49" s="4">
        <v>2673.39</v>
      </c>
      <c r="V49" s="4">
        <v>2474.39</v>
      </c>
      <c r="W49" s="4"/>
      <c r="X49" s="4">
        <f>666.03+1038.78</f>
        <v>1704.81</v>
      </c>
      <c r="Y49" s="4"/>
      <c r="Z49" s="4">
        <f>1348.75+1194.18</f>
        <v>2542.9300000000003</v>
      </c>
      <c r="AA49" s="4">
        <f>1839.46+99.82</f>
        <v>1939.28</v>
      </c>
      <c r="AB49" s="4"/>
      <c r="AC49" s="4">
        <v>1643.05</v>
      </c>
      <c r="AD49" s="4">
        <f>2389.97+2353.37</f>
        <v>4743.34</v>
      </c>
      <c r="AE49" s="4">
        <v>4473.1099999999997</v>
      </c>
      <c r="AF49" s="4">
        <v>17000</v>
      </c>
      <c r="AG49" s="4">
        <f t="shared" si="6"/>
        <v>19926.89</v>
      </c>
      <c r="AH49" s="4">
        <f t="shared" si="7"/>
        <v>19926.89</v>
      </c>
      <c r="AI49" s="4">
        <f t="shared" si="8"/>
        <v>19926.89</v>
      </c>
      <c r="AJ49" s="4">
        <f t="shared" si="9"/>
        <v>0</v>
      </c>
      <c r="AK49" s="4">
        <f t="shared" si="10"/>
        <v>0</v>
      </c>
      <c r="AL49" s="4">
        <f t="shared" si="11"/>
        <v>0</v>
      </c>
    </row>
    <row r="50" spans="1:38" s="19" customFormat="1" ht="45">
      <c r="A50" s="1">
        <v>43</v>
      </c>
      <c r="B50" s="42" t="s">
        <v>87</v>
      </c>
      <c r="C50" s="14" t="s">
        <v>53</v>
      </c>
      <c r="D50" s="10" t="s">
        <v>54</v>
      </c>
      <c r="E50" s="3" t="s">
        <v>106</v>
      </c>
      <c r="F50" s="4">
        <v>3635.39</v>
      </c>
      <c r="G50" s="4"/>
      <c r="H50" s="4"/>
      <c r="I50" s="4"/>
      <c r="J50" s="5"/>
      <c r="K50" s="4"/>
      <c r="L50" s="4"/>
      <c r="M50" s="5"/>
      <c r="N50" s="4"/>
      <c r="O50" s="4"/>
      <c r="P50" s="4"/>
      <c r="Q50" s="4"/>
      <c r="R50" s="4"/>
      <c r="S50" s="4"/>
      <c r="T50" s="4"/>
      <c r="U50" s="5"/>
      <c r="V50" s="4"/>
      <c r="W50" s="5"/>
      <c r="X50" s="4"/>
      <c r="Y50" s="5"/>
      <c r="Z50" s="4"/>
      <c r="AA50" s="4"/>
      <c r="AB50" s="4"/>
      <c r="AC50" s="4"/>
      <c r="AD50" s="4"/>
      <c r="AE50" s="4">
        <v>3635.39</v>
      </c>
      <c r="AF50" s="4"/>
      <c r="AG50" s="4">
        <f t="shared" si="6"/>
        <v>0</v>
      </c>
      <c r="AH50" s="4">
        <f t="shared" si="7"/>
        <v>0</v>
      </c>
      <c r="AI50" s="4">
        <f t="shared" si="8"/>
        <v>0</v>
      </c>
      <c r="AJ50" s="4">
        <f t="shared" si="9"/>
        <v>0</v>
      </c>
      <c r="AK50" s="4">
        <f t="shared" si="10"/>
        <v>0</v>
      </c>
      <c r="AL50" s="4">
        <f t="shared" si="11"/>
        <v>0</v>
      </c>
    </row>
    <row r="51" spans="1:38" s="19" customFormat="1">
      <c r="A51" s="1">
        <v>44</v>
      </c>
      <c r="B51" s="42" t="s">
        <v>104</v>
      </c>
      <c r="C51" s="14" t="s">
        <v>109</v>
      </c>
      <c r="D51" s="10" t="s">
        <v>107</v>
      </c>
      <c r="E51" s="3" t="s">
        <v>108</v>
      </c>
      <c r="F51" s="4">
        <v>15000</v>
      </c>
      <c r="G51" s="4"/>
      <c r="H51" s="5">
        <v>4760</v>
      </c>
      <c r="I51" s="4">
        <v>2940</v>
      </c>
      <c r="J51" s="4">
        <v>3020</v>
      </c>
      <c r="K51" s="4"/>
      <c r="L51" s="4"/>
      <c r="M51" s="4"/>
      <c r="N51" s="4">
        <v>2440</v>
      </c>
      <c r="O51" s="4">
        <v>2400</v>
      </c>
      <c r="P51" s="4">
        <v>2580</v>
      </c>
      <c r="Q51" s="4">
        <v>1240</v>
      </c>
      <c r="R51" s="4">
        <v>2060</v>
      </c>
      <c r="S51" s="4"/>
      <c r="T51" s="5">
        <v>4760</v>
      </c>
      <c r="U51" s="4">
        <v>2940</v>
      </c>
      <c r="V51" s="4">
        <v>3020</v>
      </c>
      <c r="W51" s="4"/>
      <c r="X51" s="4"/>
      <c r="Y51" s="4"/>
      <c r="Z51" s="4">
        <v>2440</v>
      </c>
      <c r="AA51" s="4">
        <v>2400</v>
      </c>
      <c r="AB51" s="4">
        <v>2580</v>
      </c>
      <c r="AC51" s="4">
        <v>1240</v>
      </c>
      <c r="AD51" s="4">
        <v>2060</v>
      </c>
      <c r="AE51" s="4">
        <v>13560</v>
      </c>
      <c r="AF51" s="4">
        <v>20000</v>
      </c>
      <c r="AG51" s="4">
        <f t="shared" si="6"/>
        <v>21440</v>
      </c>
      <c r="AH51" s="4">
        <f t="shared" si="7"/>
        <v>21440</v>
      </c>
      <c r="AI51" s="4">
        <f t="shared" si="8"/>
        <v>21440</v>
      </c>
      <c r="AJ51" s="4">
        <f t="shared" si="9"/>
        <v>0</v>
      </c>
      <c r="AK51" s="4">
        <f t="shared" si="10"/>
        <v>0</v>
      </c>
      <c r="AL51" s="4">
        <f t="shared" si="11"/>
        <v>0</v>
      </c>
    </row>
    <row r="52" spans="1:38" s="19" customFormat="1">
      <c r="A52" s="1">
        <v>45</v>
      </c>
      <c r="B52" s="42" t="s">
        <v>27</v>
      </c>
      <c r="C52" s="14" t="s">
        <v>109</v>
      </c>
      <c r="D52" s="10" t="s">
        <v>110</v>
      </c>
      <c r="E52" s="3" t="s">
        <v>111</v>
      </c>
      <c r="F52" s="4">
        <v>15000</v>
      </c>
      <c r="G52" s="4"/>
      <c r="H52" s="5">
        <v>4760</v>
      </c>
      <c r="I52" s="4">
        <v>2940</v>
      </c>
      <c r="J52" s="4">
        <v>3120</v>
      </c>
      <c r="K52" s="4"/>
      <c r="L52" s="4"/>
      <c r="M52" s="4"/>
      <c r="N52" s="4">
        <v>2440</v>
      </c>
      <c r="O52" s="4">
        <v>2400</v>
      </c>
      <c r="P52" s="5">
        <v>2580</v>
      </c>
      <c r="Q52" s="4">
        <v>1240</v>
      </c>
      <c r="R52" s="4">
        <v>2060</v>
      </c>
      <c r="S52" s="4"/>
      <c r="T52" s="4">
        <v>4760</v>
      </c>
      <c r="U52" s="4">
        <v>2940</v>
      </c>
      <c r="V52" s="4">
        <v>3120</v>
      </c>
      <c r="W52" s="4"/>
      <c r="X52" s="4"/>
      <c r="Y52" s="4"/>
      <c r="Z52" s="4">
        <v>2440</v>
      </c>
      <c r="AA52" s="4">
        <v>2400</v>
      </c>
      <c r="AB52" s="5">
        <v>2580</v>
      </c>
      <c r="AC52" s="5">
        <v>1240</v>
      </c>
      <c r="AD52" s="4">
        <v>2060</v>
      </c>
      <c r="AE52" s="4">
        <v>13460</v>
      </c>
      <c r="AF52" s="4">
        <v>20000</v>
      </c>
      <c r="AG52" s="4">
        <f t="shared" si="6"/>
        <v>21540</v>
      </c>
      <c r="AH52" s="4">
        <f t="shared" si="7"/>
        <v>21540</v>
      </c>
      <c r="AI52" s="4">
        <f t="shared" si="8"/>
        <v>21540</v>
      </c>
      <c r="AJ52" s="4">
        <f t="shared" si="9"/>
        <v>0</v>
      </c>
      <c r="AK52" s="4">
        <f t="shared" si="10"/>
        <v>0</v>
      </c>
      <c r="AL52" s="4">
        <f t="shared" si="11"/>
        <v>0</v>
      </c>
    </row>
    <row r="53" spans="1:38" s="19" customFormat="1">
      <c r="A53" s="1">
        <v>46</v>
      </c>
      <c r="B53" s="42" t="s">
        <v>27</v>
      </c>
      <c r="C53" s="14" t="s">
        <v>109</v>
      </c>
      <c r="D53" s="10" t="s">
        <v>112</v>
      </c>
      <c r="E53" s="3" t="s">
        <v>113</v>
      </c>
      <c r="F53" s="4">
        <v>15000</v>
      </c>
      <c r="G53" s="4"/>
      <c r="H53" s="4">
        <v>4760</v>
      </c>
      <c r="I53" s="5">
        <v>2940</v>
      </c>
      <c r="J53" s="4">
        <v>2220</v>
      </c>
      <c r="K53" s="4"/>
      <c r="L53" s="4"/>
      <c r="M53" s="4"/>
      <c r="N53" s="4">
        <v>2440</v>
      </c>
      <c r="O53" s="4">
        <v>2400</v>
      </c>
      <c r="P53" s="4">
        <v>2580</v>
      </c>
      <c r="Q53" s="4">
        <v>1240</v>
      </c>
      <c r="R53" s="4">
        <v>2060</v>
      </c>
      <c r="S53" s="4"/>
      <c r="T53" s="4">
        <v>4760</v>
      </c>
      <c r="U53" s="5">
        <v>2940</v>
      </c>
      <c r="V53" s="4">
        <v>2220</v>
      </c>
      <c r="W53" s="4"/>
      <c r="X53" s="4"/>
      <c r="Y53" s="4"/>
      <c r="Z53" s="4">
        <v>2440</v>
      </c>
      <c r="AA53" s="4">
        <v>2400</v>
      </c>
      <c r="AB53" s="4">
        <v>2580</v>
      </c>
      <c r="AC53" s="4">
        <v>1240</v>
      </c>
      <c r="AD53" s="4">
        <v>2060</v>
      </c>
      <c r="AE53" s="4">
        <v>12360</v>
      </c>
      <c r="AF53" s="4">
        <v>18000</v>
      </c>
      <c r="AG53" s="4">
        <f t="shared" si="6"/>
        <v>20640</v>
      </c>
      <c r="AH53" s="4">
        <f t="shared" si="7"/>
        <v>20640</v>
      </c>
      <c r="AI53" s="4">
        <f t="shared" si="8"/>
        <v>20640</v>
      </c>
      <c r="AJ53" s="4">
        <f t="shared" si="9"/>
        <v>0</v>
      </c>
      <c r="AK53" s="4">
        <f t="shared" si="10"/>
        <v>0</v>
      </c>
      <c r="AL53" s="4">
        <f t="shared" si="11"/>
        <v>0</v>
      </c>
    </row>
    <row r="54" spans="1:38" s="19" customFormat="1">
      <c r="A54" s="1">
        <v>47</v>
      </c>
      <c r="B54" s="42" t="s">
        <v>26</v>
      </c>
      <c r="C54" s="14" t="s">
        <v>114</v>
      </c>
      <c r="D54" s="10" t="s">
        <v>115</v>
      </c>
      <c r="E54" s="8" t="s">
        <v>116</v>
      </c>
      <c r="F54" s="7">
        <v>1070.8900000000001</v>
      </c>
      <c r="G54" s="4"/>
      <c r="H54" s="4">
        <v>1070.8900000000001</v>
      </c>
      <c r="I54" s="4"/>
      <c r="J54" s="4"/>
      <c r="K54" s="4"/>
      <c r="L54" s="5"/>
      <c r="M54" s="4"/>
      <c r="N54" s="4"/>
      <c r="O54" s="4"/>
      <c r="P54" s="4"/>
      <c r="Q54" s="4"/>
      <c r="R54" s="4"/>
      <c r="S54" s="4"/>
      <c r="T54" s="5">
        <v>1070.8900000000001</v>
      </c>
      <c r="U54" s="4"/>
      <c r="V54" s="4"/>
      <c r="W54" s="4"/>
      <c r="X54" s="5"/>
      <c r="Y54" s="4"/>
      <c r="Z54" s="4"/>
      <c r="AA54" s="4"/>
      <c r="AB54" s="4"/>
      <c r="AC54" s="4"/>
      <c r="AD54" s="4"/>
      <c r="AE54" s="4"/>
      <c r="AF54" s="4"/>
      <c r="AG54" s="4">
        <f t="shared" si="6"/>
        <v>1070.8900000000001</v>
      </c>
      <c r="AH54" s="4">
        <f t="shared" si="7"/>
        <v>1070.8900000000001</v>
      </c>
      <c r="AI54" s="4">
        <f t="shared" si="8"/>
        <v>1070.8900000000001</v>
      </c>
      <c r="AJ54" s="4">
        <f t="shared" si="9"/>
        <v>0</v>
      </c>
      <c r="AK54" s="4">
        <f t="shared" si="10"/>
        <v>0</v>
      </c>
      <c r="AL54" s="4">
        <f t="shared" si="11"/>
        <v>0</v>
      </c>
    </row>
    <row r="55" spans="1:38" s="19" customFormat="1">
      <c r="A55" s="1">
        <v>48</v>
      </c>
      <c r="B55" s="42" t="s">
        <v>26</v>
      </c>
      <c r="C55" s="14" t="s">
        <v>117</v>
      </c>
      <c r="D55" s="10" t="s">
        <v>115</v>
      </c>
      <c r="E55" s="3" t="s">
        <v>116</v>
      </c>
      <c r="F55" s="4">
        <v>2141.79</v>
      </c>
      <c r="G55" s="4"/>
      <c r="H55" s="5">
        <v>2141.79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5">
        <v>2141.79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>
        <f t="shared" si="6"/>
        <v>2141.79</v>
      </c>
      <c r="AH55" s="4">
        <f t="shared" si="7"/>
        <v>2141.79</v>
      </c>
      <c r="AI55" s="4">
        <f t="shared" si="8"/>
        <v>2141.79</v>
      </c>
      <c r="AJ55" s="4">
        <f t="shared" si="9"/>
        <v>0</v>
      </c>
      <c r="AK55" s="4">
        <f t="shared" si="10"/>
        <v>0</v>
      </c>
      <c r="AL55" s="4">
        <f t="shared" si="11"/>
        <v>0</v>
      </c>
    </row>
    <row r="56" spans="1:38" s="19" customFormat="1" ht="90">
      <c r="A56" s="1">
        <v>49</v>
      </c>
      <c r="B56" s="42" t="s">
        <v>27</v>
      </c>
      <c r="C56" s="14" t="s">
        <v>279</v>
      </c>
      <c r="D56" s="10" t="s">
        <v>118</v>
      </c>
      <c r="E56" s="3" t="s">
        <v>119</v>
      </c>
      <c r="F56" s="4">
        <v>4000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>
        <v>4000</v>
      </c>
      <c r="AF56" s="4"/>
      <c r="AG56" s="4">
        <f t="shared" si="6"/>
        <v>0</v>
      </c>
      <c r="AH56" s="4">
        <f t="shared" si="7"/>
        <v>0</v>
      </c>
      <c r="AI56" s="4">
        <f t="shared" si="8"/>
        <v>0</v>
      </c>
      <c r="AJ56" s="4">
        <f t="shared" si="9"/>
        <v>0</v>
      </c>
      <c r="AK56" s="4">
        <f t="shared" si="10"/>
        <v>0</v>
      </c>
      <c r="AL56" s="4">
        <f t="shared" si="11"/>
        <v>0</v>
      </c>
    </row>
    <row r="57" spans="1:38" s="19" customFormat="1" ht="45">
      <c r="A57" s="1">
        <v>50</v>
      </c>
      <c r="B57" s="42" t="s">
        <v>26</v>
      </c>
      <c r="C57" s="14" t="s">
        <v>53</v>
      </c>
      <c r="D57" s="10" t="s">
        <v>54</v>
      </c>
      <c r="E57" s="8">
        <v>3635.39</v>
      </c>
      <c r="F57" s="4">
        <v>3635.39</v>
      </c>
      <c r="G57" s="4"/>
      <c r="H57" s="4">
        <v>3635.39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v>3635.39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>
        <f t="shared" si="6"/>
        <v>3635.39</v>
      </c>
      <c r="AH57" s="4">
        <f t="shared" si="7"/>
        <v>3635.39</v>
      </c>
      <c r="AI57" s="4">
        <f t="shared" si="8"/>
        <v>3635.39</v>
      </c>
      <c r="AJ57" s="4">
        <f t="shared" si="9"/>
        <v>0</v>
      </c>
      <c r="AK57" s="4">
        <f t="shared" si="10"/>
        <v>0</v>
      </c>
      <c r="AL57" s="4">
        <f t="shared" si="11"/>
        <v>0</v>
      </c>
    </row>
    <row r="58" spans="1:38" s="19" customFormat="1" ht="153" customHeight="1">
      <c r="A58" s="1">
        <v>51</v>
      </c>
      <c r="B58" s="42" t="s">
        <v>27</v>
      </c>
      <c r="C58" s="14" t="s">
        <v>290</v>
      </c>
      <c r="D58" s="10" t="s">
        <v>120</v>
      </c>
      <c r="E58" s="3" t="s">
        <v>121</v>
      </c>
      <c r="F58" s="4">
        <v>10000</v>
      </c>
      <c r="G58" s="4"/>
      <c r="H58" s="4">
        <v>1460</v>
      </c>
      <c r="I58" s="4">
        <v>3650</v>
      </c>
      <c r="J58" s="4"/>
      <c r="K58" s="4"/>
      <c r="L58" s="4">
        <f>3650*3</f>
        <v>10950</v>
      </c>
      <c r="M58" s="4">
        <v>3650</v>
      </c>
      <c r="N58" s="4">
        <v>3650</v>
      </c>
      <c r="O58" s="4">
        <v>3650</v>
      </c>
      <c r="P58" s="4"/>
      <c r="Q58" s="4">
        <f>3650*2</f>
        <v>7300</v>
      </c>
      <c r="R58" s="4">
        <f>3650*2</f>
        <v>7300</v>
      </c>
      <c r="S58" s="4"/>
      <c r="T58" s="5">
        <v>1460</v>
      </c>
      <c r="U58" s="25">
        <v>3650</v>
      </c>
      <c r="V58" s="4"/>
      <c r="W58" s="4"/>
      <c r="X58" s="4">
        <f>3650*3</f>
        <v>10950</v>
      </c>
      <c r="Y58" s="4">
        <v>3650</v>
      </c>
      <c r="Z58" s="4">
        <v>3650</v>
      </c>
      <c r="AA58" s="4">
        <f>3527.57+122.43</f>
        <v>3650</v>
      </c>
      <c r="AB58" s="4"/>
      <c r="AC58" s="4">
        <f>3650*2</f>
        <v>7300</v>
      </c>
      <c r="AD58" s="4">
        <f>3650*2</f>
        <v>7300</v>
      </c>
      <c r="AE58" s="4">
        <v>12001</v>
      </c>
      <c r="AF58" s="4">
        <v>43611</v>
      </c>
      <c r="AG58" s="4">
        <f t="shared" si="6"/>
        <v>41610</v>
      </c>
      <c r="AH58" s="4">
        <f t="shared" si="7"/>
        <v>41610</v>
      </c>
      <c r="AI58" s="4">
        <f t="shared" si="8"/>
        <v>41610</v>
      </c>
      <c r="AJ58" s="4">
        <f t="shared" si="9"/>
        <v>0</v>
      </c>
      <c r="AK58" s="4">
        <f t="shared" si="10"/>
        <v>0</v>
      </c>
      <c r="AL58" s="4">
        <f t="shared" si="11"/>
        <v>0</v>
      </c>
    </row>
    <row r="59" spans="1:38" s="19" customFormat="1" ht="150">
      <c r="A59" s="1">
        <v>52</v>
      </c>
      <c r="B59" s="42" t="s">
        <v>27</v>
      </c>
      <c r="C59" s="14" t="s">
        <v>122</v>
      </c>
      <c r="D59" s="10" t="s">
        <v>123</v>
      </c>
      <c r="E59" s="3" t="s">
        <v>124</v>
      </c>
      <c r="F59" s="4">
        <v>115712.46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5"/>
      <c r="R59" s="4">
        <v>7401.04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5"/>
      <c r="AD59" s="4">
        <v>7401.04</v>
      </c>
      <c r="AE59" s="4">
        <v>108311.42</v>
      </c>
      <c r="AF59" s="4"/>
      <c r="AG59" s="4">
        <f t="shared" si="6"/>
        <v>7401.0400000000081</v>
      </c>
      <c r="AH59" s="4">
        <f t="shared" si="7"/>
        <v>7401.04</v>
      </c>
      <c r="AI59" s="4">
        <f t="shared" si="8"/>
        <v>7401.04</v>
      </c>
      <c r="AJ59" s="4">
        <f t="shared" si="9"/>
        <v>8.1854523159563541E-12</v>
      </c>
      <c r="AK59" s="4">
        <f t="shared" si="10"/>
        <v>0</v>
      </c>
      <c r="AL59" s="4">
        <f t="shared" si="11"/>
        <v>8.1854523159563541E-12</v>
      </c>
    </row>
    <row r="60" spans="1:38" s="19" customFormat="1">
      <c r="A60" s="1">
        <v>53</v>
      </c>
      <c r="B60" s="42" t="s">
        <v>26</v>
      </c>
      <c r="C60" s="14" t="s">
        <v>109</v>
      </c>
      <c r="D60" s="10" t="s">
        <v>110</v>
      </c>
      <c r="E60" s="3" t="s">
        <v>111</v>
      </c>
      <c r="F60" s="4">
        <v>2600</v>
      </c>
      <c r="G60" s="4"/>
      <c r="H60" s="4"/>
      <c r="I60" s="4"/>
      <c r="J60" s="5"/>
      <c r="K60" s="4"/>
      <c r="L60" s="4"/>
      <c r="M60" s="4"/>
      <c r="N60" s="4"/>
      <c r="O60" s="4"/>
      <c r="P60" s="4"/>
      <c r="Q60" s="4"/>
      <c r="R60" s="5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5"/>
      <c r="AE60" s="5">
        <v>2600</v>
      </c>
      <c r="AF60" s="4"/>
      <c r="AG60" s="4">
        <f t="shared" si="6"/>
        <v>0</v>
      </c>
      <c r="AH60" s="4">
        <f t="shared" si="7"/>
        <v>0</v>
      </c>
      <c r="AI60" s="4">
        <f t="shared" si="8"/>
        <v>0</v>
      </c>
      <c r="AJ60" s="4">
        <f t="shared" si="9"/>
        <v>0</v>
      </c>
      <c r="AK60" s="4">
        <f t="shared" si="10"/>
        <v>0</v>
      </c>
      <c r="AL60" s="4">
        <f t="shared" si="11"/>
        <v>0</v>
      </c>
    </row>
    <row r="61" spans="1:38" s="19" customFormat="1">
      <c r="A61" s="1">
        <v>54</v>
      </c>
      <c r="B61" s="42" t="s">
        <v>87</v>
      </c>
      <c r="C61" s="14" t="s">
        <v>109</v>
      </c>
      <c r="D61" s="10" t="s">
        <v>107</v>
      </c>
      <c r="E61" s="3" t="s">
        <v>108</v>
      </c>
      <c r="F61" s="4">
        <v>2600</v>
      </c>
      <c r="G61" s="4"/>
      <c r="H61" s="4"/>
      <c r="I61" s="4"/>
      <c r="J61" s="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>
        <v>2600</v>
      </c>
      <c r="AF61" s="4"/>
      <c r="AG61" s="4">
        <f t="shared" si="6"/>
        <v>0</v>
      </c>
      <c r="AH61" s="4">
        <f t="shared" si="7"/>
        <v>0</v>
      </c>
      <c r="AI61" s="4">
        <f t="shared" si="8"/>
        <v>0</v>
      </c>
      <c r="AJ61" s="4">
        <f t="shared" si="9"/>
        <v>0</v>
      </c>
      <c r="AK61" s="4">
        <f t="shared" si="10"/>
        <v>0</v>
      </c>
      <c r="AL61" s="4">
        <f t="shared" si="11"/>
        <v>0</v>
      </c>
    </row>
    <row r="62" spans="1:38" s="19" customFormat="1">
      <c r="A62" s="1">
        <v>55</v>
      </c>
      <c r="B62" s="42" t="s">
        <v>26</v>
      </c>
      <c r="C62" s="14" t="s">
        <v>109</v>
      </c>
      <c r="D62" s="10" t="s">
        <v>112</v>
      </c>
      <c r="E62" s="3" t="s">
        <v>113</v>
      </c>
      <c r="F62" s="4">
        <v>80</v>
      </c>
      <c r="G62" s="4"/>
      <c r="H62" s="4"/>
      <c r="I62" s="5"/>
      <c r="J62" s="4"/>
      <c r="K62" s="4"/>
      <c r="L62" s="4"/>
      <c r="M62" s="4"/>
      <c r="N62" s="4"/>
      <c r="O62" s="4"/>
      <c r="P62" s="4"/>
      <c r="Q62" s="4"/>
      <c r="R62" s="4"/>
      <c r="S62" s="4"/>
      <c r="T62" s="5"/>
      <c r="U62" s="5"/>
      <c r="V62" s="4"/>
      <c r="W62" s="4"/>
      <c r="X62" s="4"/>
      <c r="Y62" s="4"/>
      <c r="Z62" s="4"/>
      <c r="AA62" s="4"/>
      <c r="AB62" s="4"/>
      <c r="AC62" s="4"/>
      <c r="AD62" s="4"/>
      <c r="AE62" s="4">
        <v>80</v>
      </c>
      <c r="AF62" s="4"/>
      <c r="AG62" s="4">
        <f t="shared" si="6"/>
        <v>0</v>
      </c>
      <c r="AH62" s="4">
        <f t="shared" si="7"/>
        <v>0</v>
      </c>
      <c r="AI62" s="4">
        <f t="shared" si="8"/>
        <v>0</v>
      </c>
      <c r="AJ62" s="4">
        <f t="shared" si="9"/>
        <v>0</v>
      </c>
      <c r="AK62" s="4">
        <f t="shared" si="10"/>
        <v>0</v>
      </c>
      <c r="AL62" s="4">
        <f t="shared" si="11"/>
        <v>0</v>
      </c>
    </row>
    <row r="63" spans="1:38" s="19" customFormat="1">
      <c r="A63" s="1">
        <v>56</v>
      </c>
      <c r="B63" s="42" t="s">
        <v>26</v>
      </c>
      <c r="C63" s="14" t="s">
        <v>125</v>
      </c>
      <c r="D63" s="10" t="s">
        <v>126</v>
      </c>
      <c r="E63" s="3" t="s">
        <v>127</v>
      </c>
      <c r="F63" s="4">
        <v>5000</v>
      </c>
      <c r="G63" s="4"/>
      <c r="H63" s="22">
        <v>5000</v>
      </c>
      <c r="I63" s="23"/>
      <c r="J63" s="4"/>
      <c r="K63" s="4"/>
      <c r="L63" s="4"/>
      <c r="M63" s="4"/>
      <c r="N63" s="4"/>
      <c r="O63" s="4"/>
      <c r="P63" s="4"/>
      <c r="Q63" s="4"/>
      <c r="R63" s="4"/>
      <c r="S63" s="4"/>
      <c r="T63" s="5">
        <v>5000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>
        <f t="shared" si="6"/>
        <v>5000</v>
      </c>
      <c r="AH63" s="4">
        <f t="shared" si="7"/>
        <v>5000</v>
      </c>
      <c r="AI63" s="4">
        <f t="shared" si="8"/>
        <v>5000</v>
      </c>
      <c r="AJ63" s="4">
        <f t="shared" si="9"/>
        <v>0</v>
      </c>
      <c r="AK63" s="4">
        <f t="shared" si="10"/>
        <v>0</v>
      </c>
      <c r="AL63" s="4">
        <f t="shared" si="11"/>
        <v>0</v>
      </c>
    </row>
    <row r="64" spans="1:38" s="19" customFormat="1" ht="45">
      <c r="A64" s="1">
        <v>57</v>
      </c>
      <c r="B64" s="42" t="s">
        <v>26</v>
      </c>
      <c r="C64" s="14" t="s">
        <v>281</v>
      </c>
      <c r="D64" s="10" t="s">
        <v>128</v>
      </c>
      <c r="E64" s="3" t="s">
        <v>129</v>
      </c>
      <c r="F64" s="4">
        <v>185.7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>
        <v>185.7</v>
      </c>
      <c r="AF64" s="4"/>
      <c r="AG64" s="4">
        <f t="shared" si="6"/>
        <v>0</v>
      </c>
      <c r="AH64" s="4">
        <f t="shared" si="7"/>
        <v>0</v>
      </c>
      <c r="AI64" s="4">
        <f t="shared" si="8"/>
        <v>0</v>
      </c>
      <c r="AJ64" s="4">
        <f t="shared" si="9"/>
        <v>0</v>
      </c>
      <c r="AK64" s="4">
        <f t="shared" si="10"/>
        <v>0</v>
      </c>
      <c r="AL64" s="4">
        <f t="shared" si="11"/>
        <v>0</v>
      </c>
    </row>
    <row r="65" spans="1:38" s="19" customFormat="1" ht="60">
      <c r="A65" s="1">
        <v>58</v>
      </c>
      <c r="B65" s="42" t="s">
        <v>26</v>
      </c>
      <c r="C65" s="14" t="s">
        <v>280</v>
      </c>
      <c r="D65" s="10" t="s">
        <v>130</v>
      </c>
      <c r="E65" s="3" t="s">
        <v>131</v>
      </c>
      <c r="F65" s="4">
        <v>134</v>
      </c>
      <c r="G65" s="4"/>
      <c r="H65" s="4"/>
      <c r="I65" s="5"/>
      <c r="J65" s="4"/>
      <c r="K65" s="4"/>
      <c r="L65" s="4"/>
      <c r="M65" s="4"/>
      <c r="N65" s="4"/>
      <c r="O65" s="4"/>
      <c r="P65" s="4"/>
      <c r="Q65" s="4"/>
      <c r="R65" s="4"/>
      <c r="S65" s="4"/>
      <c r="T65" s="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>
        <v>134</v>
      </c>
      <c r="AF65" s="4"/>
      <c r="AG65" s="4">
        <f t="shared" si="6"/>
        <v>0</v>
      </c>
      <c r="AH65" s="4">
        <f t="shared" si="7"/>
        <v>0</v>
      </c>
      <c r="AI65" s="4">
        <f t="shared" si="8"/>
        <v>0</v>
      </c>
      <c r="AJ65" s="4">
        <f t="shared" si="9"/>
        <v>0</v>
      </c>
      <c r="AK65" s="4">
        <f t="shared" si="10"/>
        <v>0</v>
      </c>
      <c r="AL65" s="4">
        <f t="shared" si="11"/>
        <v>0</v>
      </c>
    </row>
    <row r="66" spans="1:38" s="19" customFormat="1" ht="90">
      <c r="A66" s="1">
        <v>59</v>
      </c>
      <c r="B66" s="42" t="s">
        <v>27</v>
      </c>
      <c r="C66" s="26" t="s">
        <v>132</v>
      </c>
      <c r="D66" s="10" t="s">
        <v>133</v>
      </c>
      <c r="E66" s="3" t="s">
        <v>134</v>
      </c>
      <c r="F66" s="4">
        <v>25159</v>
      </c>
      <c r="G66" s="4"/>
      <c r="H66" s="5">
        <v>8386</v>
      </c>
      <c r="I66" s="4">
        <v>8386</v>
      </c>
      <c r="J66" s="4"/>
      <c r="K66" s="4">
        <f>8386  +8386</f>
        <v>16772</v>
      </c>
      <c r="L66" s="4">
        <v>8386</v>
      </c>
      <c r="M66" s="4">
        <v>8386</v>
      </c>
      <c r="N66" s="4">
        <v>6708.8</v>
      </c>
      <c r="O66" s="4"/>
      <c r="P66" s="4"/>
      <c r="Q66" s="4"/>
      <c r="R66" s="4"/>
      <c r="S66" s="4"/>
      <c r="T66" s="5">
        <v>8386</v>
      </c>
      <c r="U66" s="4">
        <v>8386</v>
      </c>
      <c r="V66" s="4"/>
      <c r="W66" s="4">
        <f>8386*2</f>
        <v>16772</v>
      </c>
      <c r="X66" s="4">
        <v>8386</v>
      </c>
      <c r="Y66" s="4">
        <v>8386</v>
      </c>
      <c r="Z66" s="4">
        <v>6708.8</v>
      </c>
      <c r="AA66" s="4"/>
      <c r="AB66" s="4"/>
      <c r="AC66" s="4"/>
      <c r="AD66" s="4"/>
      <c r="AE66" s="4">
        <v>1</v>
      </c>
      <c r="AF66" s="4">
        <v>31866.799999999999</v>
      </c>
      <c r="AG66" s="4">
        <f t="shared" si="6"/>
        <v>57024.800000000003</v>
      </c>
      <c r="AH66" s="4">
        <f t="shared" si="7"/>
        <v>57024.800000000003</v>
      </c>
      <c r="AI66" s="4">
        <f t="shared" si="8"/>
        <v>57024.800000000003</v>
      </c>
      <c r="AJ66" s="4">
        <f t="shared" si="9"/>
        <v>0</v>
      </c>
      <c r="AK66" s="4">
        <f t="shared" si="10"/>
        <v>0</v>
      </c>
      <c r="AL66" s="4">
        <f t="shared" si="11"/>
        <v>0</v>
      </c>
    </row>
    <row r="67" spans="1:38" s="19" customFormat="1">
      <c r="A67" s="1">
        <v>60</v>
      </c>
      <c r="B67" s="42" t="s">
        <v>26</v>
      </c>
      <c r="C67" s="14" t="s">
        <v>135</v>
      </c>
      <c r="D67" s="10" t="s">
        <v>110</v>
      </c>
      <c r="E67" s="3" t="s">
        <v>111</v>
      </c>
      <c r="F67" s="4">
        <v>2600</v>
      </c>
      <c r="G67" s="4"/>
      <c r="H67" s="4">
        <v>2281.19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5"/>
      <c r="U67" s="4"/>
      <c r="V67" s="4">
        <v>2281.19</v>
      </c>
      <c r="W67" s="4"/>
      <c r="X67" s="4"/>
      <c r="Y67" s="4"/>
      <c r="Z67" s="4"/>
      <c r="AA67" s="4"/>
      <c r="AB67" s="4"/>
      <c r="AC67" s="4"/>
      <c r="AD67" s="4"/>
      <c r="AE67" s="4">
        <v>318.81</v>
      </c>
      <c r="AF67" s="4"/>
      <c r="AG67" s="4">
        <f t="shared" si="6"/>
        <v>2281.19</v>
      </c>
      <c r="AH67" s="4">
        <f t="shared" si="7"/>
        <v>2281.19</v>
      </c>
      <c r="AI67" s="4">
        <f t="shared" si="8"/>
        <v>2281.19</v>
      </c>
      <c r="AJ67" s="4">
        <f t="shared" si="9"/>
        <v>0</v>
      </c>
      <c r="AK67" s="4">
        <f t="shared" si="10"/>
        <v>0</v>
      </c>
      <c r="AL67" s="4">
        <f t="shared" si="11"/>
        <v>0</v>
      </c>
    </row>
    <row r="68" spans="1:38" s="19" customFormat="1">
      <c r="A68" s="1">
        <v>61</v>
      </c>
      <c r="B68" s="42" t="s">
        <v>26</v>
      </c>
      <c r="C68" s="14" t="s">
        <v>135</v>
      </c>
      <c r="D68" s="10" t="s">
        <v>107</v>
      </c>
      <c r="E68" s="3" t="s">
        <v>108</v>
      </c>
      <c r="F68" s="4">
        <v>2600</v>
      </c>
      <c r="G68" s="4"/>
      <c r="H68" s="4"/>
      <c r="I68" s="4"/>
      <c r="J68" s="4">
        <v>2281.19</v>
      </c>
      <c r="K68" s="4"/>
      <c r="L68" s="4"/>
      <c r="M68" s="4"/>
      <c r="N68" s="4"/>
      <c r="O68" s="4"/>
      <c r="P68" s="4"/>
      <c r="Q68" s="4"/>
      <c r="R68" s="4"/>
      <c r="S68" s="4"/>
      <c r="T68" s="5"/>
      <c r="U68" s="4"/>
      <c r="V68" s="4">
        <v>2281.19</v>
      </c>
      <c r="W68" s="4"/>
      <c r="X68" s="4"/>
      <c r="Y68" s="4"/>
      <c r="Z68" s="4"/>
      <c r="AA68" s="4"/>
      <c r="AB68" s="4"/>
      <c r="AC68" s="4"/>
      <c r="AD68" s="4"/>
      <c r="AE68" s="4">
        <v>318.81</v>
      </c>
      <c r="AF68" s="4"/>
      <c r="AG68" s="4">
        <f t="shared" si="6"/>
        <v>2281.19</v>
      </c>
      <c r="AH68" s="4">
        <f t="shared" si="7"/>
        <v>2281.19</v>
      </c>
      <c r="AI68" s="4">
        <f t="shared" si="8"/>
        <v>2281.19</v>
      </c>
      <c r="AJ68" s="4">
        <f t="shared" si="9"/>
        <v>0</v>
      </c>
      <c r="AK68" s="4">
        <f t="shared" si="10"/>
        <v>0</v>
      </c>
      <c r="AL68" s="4">
        <f t="shared" si="11"/>
        <v>0</v>
      </c>
    </row>
    <row r="69" spans="1:38" s="19" customFormat="1">
      <c r="A69" s="1">
        <v>62</v>
      </c>
      <c r="B69" s="42" t="s">
        <v>26</v>
      </c>
      <c r="C69" s="14" t="s">
        <v>135</v>
      </c>
      <c r="D69" s="10" t="s">
        <v>112</v>
      </c>
      <c r="E69" s="3" t="s">
        <v>113</v>
      </c>
      <c r="F69" s="4">
        <v>80</v>
      </c>
      <c r="G69" s="4"/>
      <c r="H69" s="4"/>
      <c r="I69" s="4"/>
      <c r="J69" s="4">
        <v>20</v>
      </c>
      <c r="K69" s="4"/>
      <c r="L69" s="4"/>
      <c r="M69" s="4"/>
      <c r="N69" s="4"/>
      <c r="O69" s="4"/>
      <c r="P69" s="4"/>
      <c r="Q69" s="4"/>
      <c r="R69" s="4"/>
      <c r="S69" s="4"/>
      <c r="T69" s="5"/>
      <c r="U69" s="4"/>
      <c r="V69" s="4">
        <v>20</v>
      </c>
      <c r="W69" s="4"/>
      <c r="X69" s="4"/>
      <c r="Y69" s="4"/>
      <c r="Z69" s="4"/>
      <c r="AA69" s="4"/>
      <c r="AB69" s="4"/>
      <c r="AC69" s="4"/>
      <c r="AD69" s="4"/>
      <c r="AE69" s="4">
        <v>60</v>
      </c>
      <c r="AF69" s="4"/>
      <c r="AG69" s="4">
        <f t="shared" si="6"/>
        <v>20</v>
      </c>
      <c r="AH69" s="4">
        <f t="shared" si="7"/>
        <v>20</v>
      </c>
      <c r="AI69" s="4">
        <f t="shared" si="8"/>
        <v>20</v>
      </c>
      <c r="AJ69" s="4">
        <f t="shared" si="9"/>
        <v>0</v>
      </c>
      <c r="AK69" s="4">
        <f t="shared" si="10"/>
        <v>0</v>
      </c>
      <c r="AL69" s="4">
        <f t="shared" si="11"/>
        <v>0</v>
      </c>
    </row>
    <row r="70" spans="1:38" s="19" customFormat="1" ht="150">
      <c r="A70" s="1">
        <v>63</v>
      </c>
      <c r="B70" s="42" t="s">
        <v>27</v>
      </c>
      <c r="C70" s="14" t="s">
        <v>136</v>
      </c>
      <c r="D70" s="10" t="s">
        <v>137</v>
      </c>
      <c r="E70" s="3" t="s">
        <v>138</v>
      </c>
      <c r="F70" s="4">
        <v>3000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>
        <v>3000</v>
      </c>
      <c r="AF70" s="4"/>
      <c r="AG70" s="4">
        <f t="shared" si="6"/>
        <v>0</v>
      </c>
      <c r="AH70" s="4">
        <f t="shared" si="7"/>
        <v>0</v>
      </c>
      <c r="AI70" s="4">
        <f t="shared" si="8"/>
        <v>0</v>
      </c>
      <c r="AJ70" s="4">
        <f t="shared" si="9"/>
        <v>0</v>
      </c>
      <c r="AK70" s="4">
        <f t="shared" si="10"/>
        <v>0</v>
      </c>
      <c r="AL70" s="4">
        <f t="shared" si="11"/>
        <v>0</v>
      </c>
    </row>
    <row r="71" spans="1:38" s="19" customFormat="1">
      <c r="A71" s="1">
        <v>64</v>
      </c>
      <c r="B71" s="42" t="s">
        <v>26</v>
      </c>
      <c r="C71" s="14" t="s">
        <v>139</v>
      </c>
      <c r="D71" s="10" t="s">
        <v>140</v>
      </c>
      <c r="E71" s="3" t="s">
        <v>141</v>
      </c>
      <c r="F71" s="4">
        <v>2500</v>
      </c>
      <c r="G71" s="4"/>
      <c r="H71" s="4">
        <v>2500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>
        <v>2500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>
        <f t="shared" si="6"/>
        <v>2500</v>
      </c>
      <c r="AH71" s="4">
        <f t="shared" si="7"/>
        <v>2500</v>
      </c>
      <c r="AI71" s="4">
        <f t="shared" si="8"/>
        <v>2500</v>
      </c>
      <c r="AJ71" s="4">
        <f t="shared" si="9"/>
        <v>0</v>
      </c>
      <c r="AK71" s="4">
        <f t="shared" si="10"/>
        <v>0</v>
      </c>
      <c r="AL71" s="4">
        <f t="shared" si="11"/>
        <v>0</v>
      </c>
    </row>
    <row r="72" spans="1:38" s="19" customFormat="1" ht="60">
      <c r="A72" s="1">
        <v>65</v>
      </c>
      <c r="B72" s="42" t="s">
        <v>27</v>
      </c>
      <c r="C72" s="14" t="s">
        <v>291</v>
      </c>
      <c r="D72" s="10" t="s">
        <v>142</v>
      </c>
      <c r="E72" s="3" t="s">
        <v>143</v>
      </c>
      <c r="F72" s="4">
        <v>106320.8</v>
      </c>
      <c r="G72" s="4"/>
      <c r="H72" s="4"/>
      <c r="I72" s="4">
        <v>159481.04999999999</v>
      </c>
      <c r="J72" s="4"/>
      <c r="K72" s="4">
        <f>53160.35+53160.35</f>
        <v>106320.7</v>
      </c>
      <c r="L72" s="4">
        <v>53160.35</v>
      </c>
      <c r="M72" s="4"/>
      <c r="N72" s="4">
        <f>53160.35*2</f>
        <v>106320.7</v>
      </c>
      <c r="O72" s="4">
        <v>53160.35</v>
      </c>
      <c r="P72" s="4">
        <v>53160.35</v>
      </c>
      <c r="Q72" s="4">
        <v>53160.35</v>
      </c>
      <c r="R72" s="4">
        <v>53160.35</v>
      </c>
      <c r="S72" s="4"/>
      <c r="T72" s="5"/>
      <c r="U72" s="4">
        <v>159481.04999999999</v>
      </c>
      <c r="V72" s="4"/>
      <c r="W72" s="4">
        <v>53160.35</v>
      </c>
      <c r="X72" s="4">
        <f>53160.35+53160.35</f>
        <v>106320.7</v>
      </c>
      <c r="Y72" s="4"/>
      <c r="Z72" s="4">
        <f>53160.35+53160.35</f>
        <v>106320.7</v>
      </c>
      <c r="AA72" s="4">
        <v>53160.35</v>
      </c>
      <c r="AB72" s="4">
        <v>53160.35</v>
      </c>
      <c r="AC72" s="4">
        <v>53160.35</v>
      </c>
      <c r="AD72" s="4">
        <v>53160.35</v>
      </c>
      <c r="AE72" s="4">
        <v>0.6</v>
      </c>
      <c r="AF72" s="4">
        <v>531604</v>
      </c>
      <c r="AG72" s="4">
        <f t="shared" ref="AG72:AG103" si="12">F72-AE72+AF72</f>
        <v>637924.19999999995</v>
      </c>
      <c r="AH72" s="4">
        <f t="shared" ref="AH72:AH103" si="13">SUM(G72:R72)</f>
        <v>637924.19999999995</v>
      </c>
      <c r="AI72" s="4">
        <f t="shared" ref="AI72:AI103" si="14">SUM(S72:AD72)</f>
        <v>637924.19999999995</v>
      </c>
      <c r="AJ72" s="4">
        <f t="shared" ref="AJ72:AJ103" si="15">(AH72-AI72)+(AG72-AH72)</f>
        <v>0</v>
      </c>
      <c r="AK72" s="4">
        <f t="shared" ref="AK72:AK103" si="16">AH72-AI72</f>
        <v>0</v>
      </c>
      <c r="AL72" s="4">
        <f t="shared" ref="AL72:AL103" si="17">AG72-AH72</f>
        <v>0</v>
      </c>
    </row>
    <row r="73" spans="1:38" s="19" customFormat="1" ht="60">
      <c r="A73" s="1">
        <v>66</v>
      </c>
      <c r="B73" s="42" t="s">
        <v>27</v>
      </c>
      <c r="C73" s="14" t="s">
        <v>144</v>
      </c>
      <c r="D73" s="10" t="s">
        <v>145</v>
      </c>
      <c r="E73" s="3" t="s">
        <v>146</v>
      </c>
      <c r="F73" s="4">
        <v>1000</v>
      </c>
      <c r="G73" s="4"/>
      <c r="H73" s="4">
        <v>482.35</v>
      </c>
      <c r="I73" s="4">
        <v>400</v>
      </c>
      <c r="J73" s="4">
        <v>220</v>
      </c>
      <c r="K73" s="4"/>
      <c r="L73" s="4"/>
      <c r="M73" s="4"/>
      <c r="N73" s="4"/>
      <c r="O73" s="4"/>
      <c r="P73" s="4"/>
      <c r="Q73" s="4"/>
      <c r="R73" s="4"/>
      <c r="S73" s="4"/>
      <c r="T73" s="5">
        <v>482.35</v>
      </c>
      <c r="U73" s="4">
        <v>400</v>
      </c>
      <c r="V73" s="4">
        <v>220</v>
      </c>
      <c r="W73" s="4"/>
      <c r="X73" s="4"/>
      <c r="Y73" s="4"/>
      <c r="Z73" s="4"/>
      <c r="AA73" s="4"/>
      <c r="AB73" s="4"/>
      <c r="AC73" s="4"/>
      <c r="AD73" s="4"/>
      <c r="AE73" s="29">
        <v>897.65</v>
      </c>
      <c r="AF73" s="4">
        <v>1000</v>
      </c>
      <c r="AG73" s="4">
        <f t="shared" si="12"/>
        <v>1102.3499999999999</v>
      </c>
      <c r="AH73" s="4">
        <f t="shared" si="13"/>
        <v>1102.3499999999999</v>
      </c>
      <c r="AI73" s="4">
        <f t="shared" si="14"/>
        <v>1102.3499999999999</v>
      </c>
      <c r="AJ73" s="4">
        <f t="shared" si="15"/>
        <v>0</v>
      </c>
      <c r="AK73" s="4">
        <f t="shared" si="16"/>
        <v>0</v>
      </c>
      <c r="AL73" s="4">
        <f t="shared" si="17"/>
        <v>0</v>
      </c>
    </row>
    <row r="74" spans="1:38" s="19" customFormat="1" ht="105">
      <c r="A74" s="1">
        <v>67</v>
      </c>
      <c r="B74" s="42" t="s">
        <v>27</v>
      </c>
      <c r="C74" s="14" t="s">
        <v>147</v>
      </c>
      <c r="D74" s="10" t="s">
        <v>148</v>
      </c>
      <c r="E74" s="3" t="s">
        <v>149</v>
      </c>
      <c r="F74" s="4">
        <v>6200</v>
      </c>
      <c r="G74" s="4"/>
      <c r="H74" s="4">
        <v>1626.41</v>
      </c>
      <c r="I74" s="4">
        <v>1524.76</v>
      </c>
      <c r="J74" s="4">
        <v>1524.76</v>
      </c>
      <c r="K74" s="4"/>
      <c r="L74" s="5">
        <v>1524.76</v>
      </c>
      <c r="M74" s="4">
        <v>1524.76</v>
      </c>
      <c r="N74" s="4">
        <f>1524.76*2</f>
        <v>3049.52</v>
      </c>
      <c r="O74" s="4">
        <v>1524.76</v>
      </c>
      <c r="P74" s="4">
        <v>1524.76</v>
      </c>
      <c r="Q74" s="4">
        <v>1524.76</v>
      </c>
      <c r="R74" s="4">
        <f>1524.76*2</f>
        <v>3049.52</v>
      </c>
      <c r="S74" s="4"/>
      <c r="T74" s="4">
        <v>1626.41</v>
      </c>
      <c r="U74" s="4">
        <v>1524.76</v>
      </c>
      <c r="V74" s="4">
        <v>1524.76</v>
      </c>
      <c r="W74" s="4"/>
      <c r="X74" s="5">
        <v>1524.76</v>
      </c>
      <c r="Y74" s="4">
        <v>1524.76</v>
      </c>
      <c r="Z74" s="4">
        <f>1524.76*2</f>
        <v>3049.52</v>
      </c>
      <c r="AA74" s="4">
        <v>1524.76</v>
      </c>
      <c r="AB74" s="5">
        <v>1524.76</v>
      </c>
      <c r="AC74" s="5">
        <v>1524.76</v>
      </c>
      <c r="AD74" s="4">
        <f>1524.76*2</f>
        <v>3049.52</v>
      </c>
      <c r="AE74" s="4">
        <v>1.23</v>
      </c>
      <c r="AF74" s="5">
        <v>12200</v>
      </c>
      <c r="AG74" s="4">
        <f t="shared" si="12"/>
        <v>18398.77</v>
      </c>
      <c r="AH74" s="4">
        <f t="shared" si="13"/>
        <v>18398.77</v>
      </c>
      <c r="AI74" s="4">
        <f t="shared" si="14"/>
        <v>18398.77</v>
      </c>
      <c r="AJ74" s="4">
        <f t="shared" si="15"/>
        <v>0</v>
      </c>
      <c r="AK74" s="4">
        <f t="shared" si="16"/>
        <v>0</v>
      </c>
      <c r="AL74" s="4">
        <f t="shared" si="17"/>
        <v>0</v>
      </c>
    </row>
    <row r="75" spans="1:38" s="19" customFormat="1" ht="195">
      <c r="A75" s="1">
        <v>68</v>
      </c>
      <c r="B75" s="42" t="s">
        <v>27</v>
      </c>
      <c r="C75" s="14" t="s">
        <v>226</v>
      </c>
      <c r="D75" s="10" t="s">
        <v>103</v>
      </c>
      <c r="E75" s="3" t="s">
        <v>86</v>
      </c>
      <c r="F75" s="4">
        <v>5000</v>
      </c>
      <c r="G75" s="4"/>
      <c r="H75" s="5">
        <v>1900</v>
      </c>
      <c r="I75" s="4">
        <v>1900</v>
      </c>
      <c r="J75" s="4"/>
      <c r="K75" s="4"/>
      <c r="L75" s="4">
        <v>1900</v>
      </c>
      <c r="M75" s="4"/>
      <c r="N75" s="4">
        <f>1900*4</f>
        <v>7600</v>
      </c>
      <c r="O75" s="4">
        <v>1900</v>
      </c>
      <c r="P75" s="4">
        <v>1900</v>
      </c>
      <c r="Q75" s="4">
        <v>1900</v>
      </c>
      <c r="R75" s="4">
        <f>1900*2</f>
        <v>3800</v>
      </c>
      <c r="S75" s="4"/>
      <c r="T75" s="5">
        <v>1900</v>
      </c>
      <c r="U75" s="4">
        <v>1900</v>
      </c>
      <c r="V75" s="4"/>
      <c r="W75" s="4"/>
      <c r="X75" s="4">
        <v>1900</v>
      </c>
      <c r="Y75" s="4"/>
      <c r="Z75" s="4">
        <f>1900*2+3800</f>
        <v>7600</v>
      </c>
      <c r="AA75" s="4">
        <v>1900</v>
      </c>
      <c r="AB75" s="4">
        <v>1900</v>
      </c>
      <c r="AC75" s="4">
        <v>1900</v>
      </c>
      <c r="AD75" s="4">
        <f>1900*2</f>
        <v>3800</v>
      </c>
      <c r="AE75" s="4">
        <v>0.1</v>
      </c>
      <c r="AF75" s="4">
        <v>17800.099999999999</v>
      </c>
      <c r="AG75" s="4">
        <f t="shared" si="12"/>
        <v>22800</v>
      </c>
      <c r="AH75" s="4">
        <f t="shared" si="13"/>
        <v>22800</v>
      </c>
      <c r="AI75" s="4">
        <f t="shared" si="14"/>
        <v>22800</v>
      </c>
      <c r="AJ75" s="4">
        <f t="shared" si="15"/>
        <v>0</v>
      </c>
      <c r="AK75" s="4">
        <f t="shared" si="16"/>
        <v>0</v>
      </c>
      <c r="AL75" s="4">
        <f t="shared" si="17"/>
        <v>0</v>
      </c>
    </row>
    <row r="76" spans="1:38" s="19" customFormat="1" ht="45">
      <c r="A76" s="1">
        <v>69</v>
      </c>
      <c r="B76" s="42" t="s">
        <v>27</v>
      </c>
      <c r="C76" s="14" t="s">
        <v>150</v>
      </c>
      <c r="D76" s="10" t="s">
        <v>151</v>
      </c>
      <c r="E76" s="3" t="s">
        <v>152</v>
      </c>
      <c r="F76" s="4">
        <v>44127</v>
      </c>
      <c r="G76" s="4"/>
      <c r="H76" s="4"/>
      <c r="I76" s="4"/>
      <c r="J76" s="4"/>
      <c r="K76" s="4"/>
      <c r="L76" s="4"/>
      <c r="M76" s="4"/>
      <c r="N76" s="4"/>
      <c r="O76" s="4"/>
      <c r="P76" s="5"/>
      <c r="Q76" s="4"/>
      <c r="R76" s="5"/>
      <c r="S76" s="4"/>
      <c r="T76" s="4"/>
      <c r="U76" s="4"/>
      <c r="V76" s="4"/>
      <c r="W76" s="4"/>
      <c r="X76" s="4"/>
      <c r="Y76" s="4"/>
      <c r="Z76" s="4"/>
      <c r="AA76" s="4"/>
      <c r="AB76" s="5"/>
      <c r="AC76" s="5"/>
      <c r="AD76" s="4"/>
      <c r="AE76" s="4">
        <v>44127</v>
      </c>
      <c r="AF76" s="4"/>
      <c r="AG76" s="4">
        <f t="shared" si="12"/>
        <v>0</v>
      </c>
      <c r="AH76" s="4">
        <f t="shared" si="13"/>
        <v>0</v>
      </c>
      <c r="AI76" s="4">
        <f t="shared" si="14"/>
        <v>0</v>
      </c>
      <c r="AJ76" s="4">
        <f t="shared" si="15"/>
        <v>0</v>
      </c>
      <c r="AK76" s="4">
        <f t="shared" si="16"/>
        <v>0</v>
      </c>
      <c r="AL76" s="4">
        <f t="shared" si="17"/>
        <v>0</v>
      </c>
    </row>
    <row r="77" spans="1:38" s="19" customFormat="1">
      <c r="A77" s="1">
        <v>70</v>
      </c>
      <c r="B77" s="42" t="s">
        <v>26</v>
      </c>
      <c r="C77" s="14" t="s">
        <v>153</v>
      </c>
      <c r="D77" s="10" t="s">
        <v>154</v>
      </c>
      <c r="E77" s="3" t="s">
        <v>155</v>
      </c>
      <c r="F77" s="4">
        <v>5000</v>
      </c>
      <c r="G77" s="4"/>
      <c r="H77" s="4">
        <v>5000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7">
        <v>5000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>
        <f t="shared" si="12"/>
        <v>5000</v>
      </c>
      <c r="AH77" s="4">
        <f t="shared" si="13"/>
        <v>5000</v>
      </c>
      <c r="AI77" s="4">
        <f t="shared" si="14"/>
        <v>5000</v>
      </c>
      <c r="AJ77" s="4">
        <f t="shared" si="15"/>
        <v>0</v>
      </c>
      <c r="AK77" s="4">
        <f t="shared" si="16"/>
        <v>0</v>
      </c>
      <c r="AL77" s="4">
        <f t="shared" si="17"/>
        <v>0</v>
      </c>
    </row>
    <row r="78" spans="1:38" s="19" customFormat="1" ht="30">
      <c r="A78" s="1">
        <v>71</v>
      </c>
      <c r="B78" s="42" t="s">
        <v>26</v>
      </c>
      <c r="C78" s="16" t="s">
        <v>156</v>
      </c>
      <c r="D78" s="10" t="s">
        <v>37</v>
      </c>
      <c r="E78" s="3" t="s">
        <v>38</v>
      </c>
      <c r="F78" s="4">
        <v>1002</v>
      </c>
      <c r="G78" s="4"/>
      <c r="H78" s="4">
        <v>1002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>
        <v>1002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>
        <f t="shared" si="12"/>
        <v>1002</v>
      </c>
      <c r="AH78" s="4">
        <f t="shared" si="13"/>
        <v>1002</v>
      </c>
      <c r="AI78" s="4">
        <f t="shared" si="14"/>
        <v>1002</v>
      </c>
      <c r="AJ78" s="4">
        <f t="shared" si="15"/>
        <v>0</v>
      </c>
      <c r="AK78" s="4">
        <f t="shared" si="16"/>
        <v>0</v>
      </c>
      <c r="AL78" s="4">
        <f t="shared" si="17"/>
        <v>0</v>
      </c>
    </row>
    <row r="79" spans="1:38" s="19" customFormat="1" ht="90">
      <c r="A79" s="1">
        <v>72</v>
      </c>
      <c r="B79" s="42" t="s">
        <v>27</v>
      </c>
      <c r="C79" s="16" t="s">
        <v>157</v>
      </c>
      <c r="D79" s="10" t="s">
        <v>158</v>
      </c>
      <c r="E79" s="3" t="s">
        <v>159</v>
      </c>
      <c r="F79" s="4">
        <v>11784.1</v>
      </c>
      <c r="G79" s="4"/>
      <c r="H79" s="5">
        <v>5892</v>
      </c>
      <c r="I79" s="4">
        <v>5753.47</v>
      </c>
      <c r="J79" s="4">
        <v>6084.95</v>
      </c>
      <c r="K79" s="4">
        <v>6084.95</v>
      </c>
      <c r="L79" s="4">
        <v>6084.95</v>
      </c>
      <c r="M79" s="4"/>
      <c r="N79" s="4">
        <f>6084.95*2</f>
        <v>12169.9</v>
      </c>
      <c r="O79" s="4">
        <v>6084.95</v>
      </c>
      <c r="P79" s="4">
        <v>6084.95</v>
      </c>
      <c r="Q79" s="4">
        <v>6084.95</v>
      </c>
      <c r="R79" s="4">
        <f>6084.95*2</f>
        <v>12169.9</v>
      </c>
      <c r="S79" s="4"/>
      <c r="T79" s="5">
        <v>5892</v>
      </c>
      <c r="U79" s="4">
        <v>5753.47</v>
      </c>
      <c r="V79" s="4">
        <v>6084.95</v>
      </c>
      <c r="W79" s="4">
        <v>6084.95</v>
      </c>
      <c r="X79" s="4">
        <v>6084.95</v>
      </c>
      <c r="Y79" s="4"/>
      <c r="Z79" s="4">
        <f>6084.95+6084.95</f>
        <v>12169.9</v>
      </c>
      <c r="AA79" s="4">
        <v>6084.95</v>
      </c>
      <c r="AB79" s="4">
        <v>6084.95</v>
      </c>
      <c r="AC79" s="4">
        <v>6084.95</v>
      </c>
      <c r="AD79" s="4">
        <f>6084.95*2</f>
        <v>12169.9</v>
      </c>
      <c r="AE79" s="4">
        <v>489.13</v>
      </c>
      <c r="AF79" s="4">
        <v>61200</v>
      </c>
      <c r="AG79" s="4">
        <f t="shared" si="12"/>
        <v>72494.97</v>
      </c>
      <c r="AH79" s="4">
        <f t="shared" si="13"/>
        <v>72494.969999999987</v>
      </c>
      <c r="AI79" s="4">
        <f t="shared" si="14"/>
        <v>72494.969999999987</v>
      </c>
      <c r="AJ79" s="4">
        <f t="shared" si="15"/>
        <v>1.4551915228366852E-11</v>
      </c>
      <c r="AK79" s="4">
        <f t="shared" si="16"/>
        <v>0</v>
      </c>
      <c r="AL79" s="4">
        <f t="shared" si="17"/>
        <v>0</v>
      </c>
    </row>
    <row r="80" spans="1:38" s="19" customFormat="1" ht="45">
      <c r="A80" s="1">
        <v>73</v>
      </c>
      <c r="B80" s="42" t="s">
        <v>27</v>
      </c>
      <c r="C80" s="14" t="s">
        <v>223</v>
      </c>
      <c r="D80" s="10" t="s">
        <v>160</v>
      </c>
      <c r="E80" s="3" t="s">
        <v>161</v>
      </c>
      <c r="F80" s="4">
        <v>8000.1</v>
      </c>
      <c r="G80" s="4"/>
      <c r="H80" s="4">
        <v>4000</v>
      </c>
      <c r="I80" s="4"/>
      <c r="J80" s="4">
        <v>8000</v>
      </c>
      <c r="K80" s="4">
        <v>4000</v>
      </c>
      <c r="L80" s="5">
        <v>4000</v>
      </c>
      <c r="M80" s="4"/>
      <c r="N80" s="4">
        <v>4000</v>
      </c>
      <c r="O80" s="4">
        <v>4000</v>
      </c>
      <c r="P80" s="4">
        <v>4000</v>
      </c>
      <c r="Q80" s="4">
        <v>8000</v>
      </c>
      <c r="R80" s="4">
        <v>4000</v>
      </c>
      <c r="S80" s="4"/>
      <c r="T80" s="4">
        <v>4000</v>
      </c>
      <c r="U80" s="4"/>
      <c r="V80" s="4">
        <v>8000</v>
      </c>
      <c r="W80" s="4">
        <v>4000</v>
      </c>
      <c r="X80" s="7">
        <v>4000</v>
      </c>
      <c r="Y80" s="4"/>
      <c r="Z80" s="4">
        <v>4000</v>
      </c>
      <c r="AA80" s="4">
        <v>4000</v>
      </c>
      <c r="AB80" s="4">
        <v>4000</v>
      </c>
      <c r="AC80" s="4">
        <v>8000</v>
      </c>
      <c r="AD80" s="4">
        <v>4000</v>
      </c>
      <c r="AE80" s="48">
        <v>4000.1</v>
      </c>
      <c r="AF80" s="4">
        <v>40000</v>
      </c>
      <c r="AG80" s="4">
        <f t="shared" si="12"/>
        <v>44000</v>
      </c>
      <c r="AH80" s="4">
        <f t="shared" si="13"/>
        <v>44000</v>
      </c>
      <c r="AI80" s="4">
        <f t="shared" si="14"/>
        <v>44000</v>
      </c>
      <c r="AJ80" s="4">
        <f t="shared" si="15"/>
        <v>0</v>
      </c>
      <c r="AK80" s="4">
        <f t="shared" si="16"/>
        <v>0</v>
      </c>
      <c r="AL80" s="4">
        <f t="shared" si="17"/>
        <v>0</v>
      </c>
    </row>
    <row r="81" spans="1:38" s="19" customFormat="1">
      <c r="A81" s="1">
        <v>74</v>
      </c>
      <c r="B81" s="42" t="s">
        <v>26</v>
      </c>
      <c r="C81" s="14" t="s">
        <v>162</v>
      </c>
      <c r="D81" s="10" t="s">
        <v>163</v>
      </c>
      <c r="E81" s="3" t="s">
        <v>164</v>
      </c>
      <c r="F81" s="4">
        <v>34.58</v>
      </c>
      <c r="G81" s="4"/>
      <c r="H81" s="4">
        <v>34.58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>
        <v>34.58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>
        <f t="shared" si="12"/>
        <v>34.58</v>
      </c>
      <c r="AH81" s="4">
        <f t="shared" si="13"/>
        <v>34.58</v>
      </c>
      <c r="AI81" s="4">
        <f t="shared" si="14"/>
        <v>34.58</v>
      </c>
      <c r="AJ81" s="4">
        <f t="shared" si="15"/>
        <v>0</v>
      </c>
      <c r="AK81" s="4">
        <f t="shared" si="16"/>
        <v>0</v>
      </c>
      <c r="AL81" s="4">
        <f t="shared" si="17"/>
        <v>0</v>
      </c>
    </row>
    <row r="82" spans="1:38" s="19" customFormat="1">
      <c r="A82" s="1">
        <v>75</v>
      </c>
      <c r="B82" s="42" t="s">
        <v>26</v>
      </c>
      <c r="C82" s="14" t="s">
        <v>162</v>
      </c>
      <c r="D82" s="10" t="s">
        <v>165</v>
      </c>
      <c r="E82" s="3" t="s">
        <v>166</v>
      </c>
      <c r="F82" s="4">
        <v>311.25</v>
      </c>
      <c r="G82" s="4"/>
      <c r="H82" s="4">
        <v>311.25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>
        <v>311.25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>
        <f t="shared" si="12"/>
        <v>311.25</v>
      </c>
      <c r="AH82" s="4">
        <f t="shared" si="13"/>
        <v>311.25</v>
      </c>
      <c r="AI82" s="4">
        <f t="shared" si="14"/>
        <v>311.25</v>
      </c>
      <c r="AJ82" s="4">
        <f t="shared" si="15"/>
        <v>0</v>
      </c>
      <c r="AK82" s="4">
        <f t="shared" si="16"/>
        <v>0</v>
      </c>
      <c r="AL82" s="4">
        <f t="shared" si="17"/>
        <v>0</v>
      </c>
    </row>
    <row r="83" spans="1:38" s="19" customFormat="1" ht="90">
      <c r="A83" s="1">
        <v>76</v>
      </c>
      <c r="B83" s="42" t="s">
        <v>87</v>
      </c>
      <c r="C83" s="14" t="s">
        <v>287</v>
      </c>
      <c r="D83" s="10" t="s">
        <v>70</v>
      </c>
      <c r="E83" s="3" t="s">
        <v>71</v>
      </c>
      <c r="F83" s="4">
        <v>845.42</v>
      </c>
      <c r="G83" s="4"/>
      <c r="H83" s="5">
        <v>845.42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>
        <v>845.42</v>
      </c>
      <c r="U83" s="4"/>
      <c r="V83" s="5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>
        <f t="shared" si="12"/>
        <v>845.42</v>
      </c>
      <c r="AH83" s="4">
        <f t="shared" si="13"/>
        <v>845.42</v>
      </c>
      <c r="AI83" s="4">
        <f t="shared" si="14"/>
        <v>845.42</v>
      </c>
      <c r="AJ83" s="4">
        <f t="shared" si="15"/>
        <v>0</v>
      </c>
      <c r="AK83" s="4">
        <f t="shared" si="16"/>
        <v>0</v>
      </c>
      <c r="AL83" s="4">
        <f t="shared" si="17"/>
        <v>0</v>
      </c>
    </row>
    <row r="84" spans="1:38" s="19" customFormat="1">
      <c r="A84" s="1">
        <v>77</v>
      </c>
      <c r="B84" s="42" t="s">
        <v>26</v>
      </c>
      <c r="C84" s="14" t="s">
        <v>125</v>
      </c>
      <c r="D84" s="10" t="s">
        <v>130</v>
      </c>
      <c r="E84" s="3" t="s">
        <v>131</v>
      </c>
      <c r="F84" s="4">
        <v>297.5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>
        <v>297.5</v>
      </c>
      <c r="AF84" s="4"/>
      <c r="AG84" s="4">
        <f t="shared" si="12"/>
        <v>0</v>
      </c>
      <c r="AH84" s="4">
        <f t="shared" si="13"/>
        <v>0</v>
      </c>
      <c r="AI84" s="4">
        <f t="shared" si="14"/>
        <v>0</v>
      </c>
      <c r="AJ84" s="4">
        <f t="shared" si="15"/>
        <v>0</v>
      </c>
      <c r="AK84" s="4">
        <f t="shared" si="16"/>
        <v>0</v>
      </c>
      <c r="AL84" s="4">
        <f t="shared" si="17"/>
        <v>0</v>
      </c>
    </row>
    <row r="85" spans="1:38" s="19" customFormat="1">
      <c r="A85" s="1">
        <v>78</v>
      </c>
      <c r="B85" s="42" t="s">
        <v>26</v>
      </c>
      <c r="C85" s="14" t="s">
        <v>125</v>
      </c>
      <c r="D85" s="10" t="s">
        <v>167</v>
      </c>
      <c r="E85" s="3" t="s">
        <v>168</v>
      </c>
      <c r="F85" s="4">
        <v>127.25</v>
      </c>
      <c r="G85" s="4"/>
      <c r="H85" s="4"/>
      <c r="I85" s="4"/>
      <c r="J85" s="4"/>
      <c r="K85" s="4"/>
      <c r="L85" s="4">
        <v>127.25</v>
      </c>
      <c r="M85" s="5"/>
      <c r="N85" s="4"/>
      <c r="O85" s="5"/>
      <c r="P85" s="4"/>
      <c r="Q85" s="4"/>
      <c r="R85" s="5"/>
      <c r="S85" s="4"/>
      <c r="T85" s="4"/>
      <c r="U85" s="4"/>
      <c r="V85" s="4"/>
      <c r="W85" s="4"/>
      <c r="X85" s="4"/>
      <c r="Y85" s="4">
        <v>127.25</v>
      </c>
      <c r="Z85" s="4"/>
      <c r="AA85" s="5"/>
      <c r="AB85" s="4"/>
      <c r="AC85" s="4"/>
      <c r="AD85" s="5"/>
      <c r="AE85" s="4"/>
      <c r="AF85" s="4"/>
      <c r="AG85" s="4">
        <f t="shared" si="12"/>
        <v>127.25</v>
      </c>
      <c r="AH85" s="4">
        <f t="shared" si="13"/>
        <v>127.25</v>
      </c>
      <c r="AI85" s="4">
        <f t="shared" si="14"/>
        <v>127.25</v>
      </c>
      <c r="AJ85" s="4">
        <f t="shared" si="15"/>
        <v>0</v>
      </c>
      <c r="AK85" s="4">
        <f t="shared" si="16"/>
        <v>0</v>
      </c>
      <c r="AL85" s="4">
        <f t="shared" si="17"/>
        <v>0</v>
      </c>
    </row>
    <row r="86" spans="1:38" s="19" customFormat="1">
      <c r="A86" s="1">
        <v>79</v>
      </c>
      <c r="B86" s="42" t="s">
        <v>26</v>
      </c>
      <c r="C86" s="14" t="s">
        <v>125</v>
      </c>
      <c r="D86" s="10" t="s">
        <v>169</v>
      </c>
      <c r="E86" s="3" t="s">
        <v>170</v>
      </c>
      <c r="F86" s="4">
        <v>2384.7600000000002</v>
      </c>
      <c r="G86" s="4"/>
      <c r="H86" s="4"/>
      <c r="I86" s="4">
        <v>2384.7600000000002</v>
      </c>
      <c r="J86" s="4"/>
      <c r="K86" s="4"/>
      <c r="L86" s="4"/>
      <c r="M86" s="5"/>
      <c r="N86" s="4"/>
      <c r="O86" s="4"/>
      <c r="P86" s="4"/>
      <c r="Q86" s="4"/>
      <c r="R86" s="4"/>
      <c r="S86" s="4"/>
      <c r="T86" s="4"/>
      <c r="U86" s="5">
        <v>2384.7600000000002</v>
      </c>
      <c r="V86" s="4"/>
      <c r="W86" s="4"/>
      <c r="X86" s="5"/>
      <c r="Y86" s="4"/>
      <c r="Z86" s="4"/>
      <c r="AA86" s="4"/>
      <c r="AB86" s="4"/>
      <c r="AC86" s="4"/>
      <c r="AD86" s="4"/>
      <c r="AE86" s="4"/>
      <c r="AF86" s="4"/>
      <c r="AG86" s="4">
        <f t="shared" si="12"/>
        <v>2384.7600000000002</v>
      </c>
      <c r="AH86" s="4">
        <f t="shared" si="13"/>
        <v>2384.7600000000002</v>
      </c>
      <c r="AI86" s="4">
        <f t="shared" si="14"/>
        <v>2384.7600000000002</v>
      </c>
      <c r="AJ86" s="4">
        <f t="shared" si="15"/>
        <v>0</v>
      </c>
      <c r="AK86" s="4">
        <f t="shared" si="16"/>
        <v>0</v>
      </c>
      <c r="AL86" s="4">
        <f t="shared" si="17"/>
        <v>0</v>
      </c>
    </row>
    <row r="87" spans="1:38" s="19" customFormat="1" ht="135">
      <c r="A87" s="1">
        <v>80</v>
      </c>
      <c r="B87" s="42" t="s">
        <v>27</v>
      </c>
      <c r="C87" s="14" t="s">
        <v>171</v>
      </c>
      <c r="D87" s="10" t="s">
        <v>172</v>
      </c>
      <c r="E87" s="8" t="s">
        <v>173</v>
      </c>
      <c r="F87" s="4">
        <v>50000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>
        <v>50000</v>
      </c>
      <c r="AF87" s="4"/>
      <c r="AG87" s="4">
        <f t="shared" si="12"/>
        <v>0</v>
      </c>
      <c r="AH87" s="4">
        <f t="shared" si="13"/>
        <v>0</v>
      </c>
      <c r="AI87" s="4">
        <f t="shared" si="14"/>
        <v>0</v>
      </c>
      <c r="AJ87" s="4">
        <f t="shared" si="15"/>
        <v>0</v>
      </c>
      <c r="AK87" s="4">
        <f t="shared" si="16"/>
        <v>0</v>
      </c>
      <c r="AL87" s="4">
        <f t="shared" si="17"/>
        <v>0</v>
      </c>
    </row>
    <row r="88" spans="1:38" s="19" customFormat="1" ht="30">
      <c r="A88" s="1">
        <v>82</v>
      </c>
      <c r="B88" s="42" t="s">
        <v>27</v>
      </c>
      <c r="C88" s="14" t="s">
        <v>28</v>
      </c>
      <c r="D88" s="10" t="s">
        <v>29</v>
      </c>
      <c r="E88" s="3" t="s">
        <v>30</v>
      </c>
      <c r="F88" s="4">
        <v>298.92</v>
      </c>
      <c r="G88" s="4">
        <v>298.92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>
        <v>298.92</v>
      </c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>
        <f t="shared" si="12"/>
        <v>298.92</v>
      </c>
      <c r="AH88" s="4">
        <f t="shared" si="13"/>
        <v>298.92</v>
      </c>
      <c r="AI88" s="4">
        <f t="shared" si="14"/>
        <v>298.92</v>
      </c>
      <c r="AJ88" s="4">
        <f t="shared" si="15"/>
        <v>0</v>
      </c>
      <c r="AK88" s="4">
        <f t="shared" si="16"/>
        <v>0</v>
      </c>
      <c r="AL88" s="4">
        <f t="shared" si="17"/>
        <v>0</v>
      </c>
    </row>
    <row r="89" spans="1:38" s="19" customFormat="1" ht="165">
      <c r="A89" s="1">
        <v>83</v>
      </c>
      <c r="B89" s="42" t="s">
        <v>27</v>
      </c>
      <c r="C89" s="14" t="s">
        <v>174</v>
      </c>
      <c r="D89" s="10" t="s">
        <v>142</v>
      </c>
      <c r="E89" s="3" t="s">
        <v>143</v>
      </c>
      <c r="F89" s="4">
        <v>362146</v>
      </c>
      <c r="G89" s="4"/>
      <c r="H89" s="4">
        <v>362145.6</v>
      </c>
      <c r="I89" s="4"/>
      <c r="J89" s="4">
        <v>181072.8</v>
      </c>
      <c r="K89" s="4">
        <f>181072.8+4363.2</f>
        <v>185436</v>
      </c>
      <c r="L89" s="4"/>
      <c r="M89" s="4"/>
      <c r="N89" s="4">
        <v>314002.46000000002</v>
      </c>
      <c r="O89" s="4">
        <f>157001.23+157001.23</f>
        <v>314002.46000000002</v>
      </c>
      <c r="P89" s="4"/>
      <c r="Q89" s="4">
        <v>157001.23000000001</v>
      </c>
      <c r="R89" s="28">
        <v>157001.23000000001</v>
      </c>
      <c r="S89" s="4"/>
      <c r="T89" s="4">
        <v>362145.6</v>
      </c>
      <c r="U89" s="4"/>
      <c r="V89" s="4">
        <v>181072.8</v>
      </c>
      <c r="W89" s="4">
        <f>181072.8+4363.2</f>
        <v>185436</v>
      </c>
      <c r="X89" s="4"/>
      <c r="Y89" s="4"/>
      <c r="Z89" s="7">
        <v>314002.46000000002</v>
      </c>
      <c r="AA89" s="4">
        <f>157001.23+157001.23</f>
        <v>314002.46000000002</v>
      </c>
      <c r="AB89" s="4"/>
      <c r="AC89" s="4">
        <v>157001.23000000001</v>
      </c>
      <c r="AD89" s="4">
        <v>157001.23000000001</v>
      </c>
      <c r="AE89" s="4">
        <v>409703.22</v>
      </c>
      <c r="AF89" s="4">
        <v>1718219</v>
      </c>
      <c r="AG89" s="4">
        <f t="shared" si="12"/>
        <v>1670661.78</v>
      </c>
      <c r="AH89" s="4">
        <f t="shared" si="13"/>
        <v>1670661.7799999998</v>
      </c>
      <c r="AI89" s="4">
        <f t="shared" si="14"/>
        <v>1670661.7799999998</v>
      </c>
      <c r="AJ89" s="4">
        <f t="shared" si="15"/>
        <v>2.3283064365386963E-10</v>
      </c>
      <c r="AK89" s="4">
        <f t="shared" si="16"/>
        <v>0</v>
      </c>
      <c r="AL89" s="4">
        <f t="shared" si="17"/>
        <v>0</v>
      </c>
    </row>
    <row r="90" spans="1:38" s="19" customFormat="1">
      <c r="A90" s="1">
        <v>84</v>
      </c>
      <c r="B90" s="42" t="s">
        <v>87</v>
      </c>
      <c r="C90" s="14" t="s">
        <v>176</v>
      </c>
      <c r="D90" s="10" t="s">
        <v>37</v>
      </c>
      <c r="E90" s="3" t="s">
        <v>38</v>
      </c>
      <c r="F90" s="4">
        <v>337.5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>
        <v>337.5</v>
      </c>
      <c r="AF90" s="4"/>
      <c r="AG90" s="4">
        <f t="shared" si="12"/>
        <v>0</v>
      </c>
      <c r="AH90" s="4">
        <f t="shared" si="13"/>
        <v>0</v>
      </c>
      <c r="AI90" s="4">
        <f t="shared" si="14"/>
        <v>0</v>
      </c>
      <c r="AJ90" s="4">
        <f t="shared" si="15"/>
        <v>0</v>
      </c>
      <c r="AK90" s="4">
        <f t="shared" si="16"/>
        <v>0</v>
      </c>
      <c r="AL90" s="4">
        <f t="shared" si="17"/>
        <v>0</v>
      </c>
    </row>
    <row r="91" spans="1:38" s="19" customFormat="1">
      <c r="A91" s="1">
        <v>85</v>
      </c>
      <c r="B91" s="42" t="s">
        <v>87</v>
      </c>
      <c r="C91" s="14" t="s">
        <v>177</v>
      </c>
      <c r="D91" s="10" t="s">
        <v>103</v>
      </c>
      <c r="E91" s="3" t="s">
        <v>86</v>
      </c>
      <c r="F91" s="4">
        <v>1900</v>
      </c>
      <c r="G91" s="4"/>
      <c r="H91" s="4"/>
      <c r="I91" s="4">
        <v>1900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>
        <v>1900</v>
      </c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>
        <f t="shared" si="12"/>
        <v>1900</v>
      </c>
      <c r="AH91" s="4">
        <f t="shared" si="13"/>
        <v>1900</v>
      </c>
      <c r="AI91" s="4">
        <f t="shared" si="14"/>
        <v>1900</v>
      </c>
      <c r="AJ91" s="4">
        <f t="shared" si="15"/>
        <v>0</v>
      </c>
      <c r="AK91" s="4">
        <f t="shared" si="16"/>
        <v>0</v>
      </c>
      <c r="AL91" s="4">
        <f t="shared" si="17"/>
        <v>0</v>
      </c>
    </row>
    <row r="92" spans="1:38" s="19" customFormat="1">
      <c r="A92" s="1">
        <v>86</v>
      </c>
      <c r="B92" s="42" t="s">
        <v>87</v>
      </c>
      <c r="C92" s="14" t="s">
        <v>125</v>
      </c>
      <c r="D92" s="10" t="s">
        <v>178</v>
      </c>
      <c r="E92" s="3" t="s">
        <v>179</v>
      </c>
      <c r="F92" s="4">
        <v>489.02</v>
      </c>
      <c r="G92" s="4"/>
      <c r="H92" s="4"/>
      <c r="I92" s="4"/>
      <c r="J92" s="4"/>
      <c r="K92" s="4"/>
      <c r="L92" s="4"/>
      <c r="M92" s="5"/>
      <c r="N92" s="4"/>
      <c r="O92" s="4"/>
      <c r="P92" s="4">
        <v>489.02</v>
      </c>
      <c r="Q92" s="4"/>
      <c r="R92" s="4"/>
      <c r="S92" s="4"/>
      <c r="T92" s="4"/>
      <c r="U92" s="4"/>
      <c r="V92" s="4"/>
      <c r="W92" s="4"/>
      <c r="X92" s="4"/>
      <c r="Y92" s="5"/>
      <c r="Z92" s="4"/>
      <c r="AA92" s="4"/>
      <c r="AB92" s="4">
        <v>489.02</v>
      </c>
      <c r="AC92" s="7"/>
      <c r="AD92" s="4"/>
      <c r="AE92" s="4"/>
      <c r="AF92" s="4"/>
      <c r="AG92" s="4">
        <f t="shared" si="12"/>
        <v>489.02</v>
      </c>
      <c r="AH92" s="4">
        <f t="shared" si="13"/>
        <v>489.02</v>
      </c>
      <c r="AI92" s="4">
        <f t="shared" si="14"/>
        <v>489.02</v>
      </c>
      <c r="AJ92" s="4">
        <f t="shared" si="15"/>
        <v>0</v>
      </c>
      <c r="AK92" s="4">
        <f t="shared" si="16"/>
        <v>0</v>
      </c>
      <c r="AL92" s="4">
        <f t="shared" si="17"/>
        <v>0</v>
      </c>
    </row>
    <row r="93" spans="1:38" s="19" customFormat="1">
      <c r="A93" s="1">
        <v>87</v>
      </c>
      <c r="B93" s="42" t="s">
        <v>87</v>
      </c>
      <c r="C93" s="14" t="s">
        <v>180</v>
      </c>
      <c r="D93" s="10" t="s">
        <v>88</v>
      </c>
      <c r="E93" s="3" t="s">
        <v>82</v>
      </c>
      <c r="F93" s="4">
        <v>795.58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>
        <v>795.58</v>
      </c>
      <c r="AF93" s="4"/>
      <c r="AG93" s="4">
        <f t="shared" si="12"/>
        <v>0</v>
      </c>
      <c r="AH93" s="4">
        <f t="shared" si="13"/>
        <v>0</v>
      </c>
      <c r="AI93" s="4">
        <f t="shared" si="14"/>
        <v>0</v>
      </c>
      <c r="AJ93" s="4">
        <f t="shared" si="15"/>
        <v>0</v>
      </c>
      <c r="AK93" s="4">
        <f t="shared" si="16"/>
        <v>0</v>
      </c>
      <c r="AL93" s="4">
        <f t="shared" si="17"/>
        <v>0</v>
      </c>
    </row>
    <row r="94" spans="1:38" s="19" customFormat="1">
      <c r="A94" s="1">
        <v>88</v>
      </c>
      <c r="B94" s="42" t="s">
        <v>26</v>
      </c>
      <c r="C94" s="14" t="s">
        <v>162</v>
      </c>
      <c r="D94" s="10" t="s">
        <v>181</v>
      </c>
      <c r="E94" s="3" t="s">
        <v>182</v>
      </c>
      <c r="F94" s="6">
        <v>345.83</v>
      </c>
      <c r="G94" s="4"/>
      <c r="H94" s="4"/>
      <c r="I94" s="4">
        <v>345.83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>
        <v>345.83</v>
      </c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>
        <f t="shared" si="12"/>
        <v>345.83</v>
      </c>
      <c r="AH94" s="4">
        <f t="shared" si="13"/>
        <v>345.83</v>
      </c>
      <c r="AI94" s="4">
        <f t="shared" si="14"/>
        <v>345.83</v>
      </c>
      <c r="AJ94" s="4">
        <f t="shared" si="15"/>
        <v>0</v>
      </c>
      <c r="AK94" s="4">
        <f t="shared" si="16"/>
        <v>0</v>
      </c>
      <c r="AL94" s="4">
        <f t="shared" si="17"/>
        <v>0</v>
      </c>
    </row>
    <row r="95" spans="1:38" s="19" customFormat="1">
      <c r="A95" s="1">
        <v>89</v>
      </c>
      <c r="B95" s="42" t="s">
        <v>26</v>
      </c>
      <c r="C95" s="14" t="s">
        <v>162</v>
      </c>
      <c r="D95" s="10" t="s">
        <v>183</v>
      </c>
      <c r="E95" s="3" t="s">
        <v>184</v>
      </c>
      <c r="F95" s="6">
        <v>138.33000000000001</v>
      </c>
      <c r="G95" s="4"/>
      <c r="H95" s="4"/>
      <c r="I95" s="4">
        <v>138.33000000000001</v>
      </c>
      <c r="J95" s="4"/>
      <c r="K95" s="4"/>
      <c r="L95" s="5"/>
      <c r="M95" s="4"/>
      <c r="N95" s="4"/>
      <c r="O95" s="4"/>
      <c r="P95" s="4"/>
      <c r="Q95" s="4"/>
      <c r="R95" s="4"/>
      <c r="S95" s="4"/>
      <c r="T95" s="4"/>
      <c r="U95" s="4">
        <v>138.33000000000001</v>
      </c>
      <c r="V95" s="4"/>
      <c r="W95" s="4"/>
      <c r="X95" s="5"/>
      <c r="Y95" s="4"/>
      <c r="Z95" s="4"/>
      <c r="AA95" s="4"/>
      <c r="AB95" s="4"/>
      <c r="AC95" s="4"/>
      <c r="AD95" s="4"/>
      <c r="AE95" s="4"/>
      <c r="AF95" s="4"/>
      <c r="AG95" s="4">
        <f t="shared" si="12"/>
        <v>138.33000000000001</v>
      </c>
      <c r="AH95" s="4">
        <f t="shared" si="13"/>
        <v>138.33000000000001</v>
      </c>
      <c r="AI95" s="4">
        <f t="shared" si="14"/>
        <v>138.33000000000001</v>
      </c>
      <c r="AJ95" s="4">
        <f t="shared" si="15"/>
        <v>0</v>
      </c>
      <c r="AK95" s="4">
        <f t="shared" si="16"/>
        <v>0</v>
      </c>
      <c r="AL95" s="4">
        <f t="shared" si="17"/>
        <v>0</v>
      </c>
    </row>
    <row r="96" spans="1:38" s="19" customFormat="1">
      <c r="A96" s="1">
        <v>91</v>
      </c>
      <c r="B96" s="42" t="s">
        <v>26</v>
      </c>
      <c r="C96" s="14" t="s">
        <v>78</v>
      </c>
      <c r="D96" s="10" t="s">
        <v>185</v>
      </c>
      <c r="E96" s="3" t="s">
        <v>186</v>
      </c>
      <c r="F96" s="5">
        <v>2752</v>
      </c>
      <c r="G96" s="4"/>
      <c r="H96" s="4"/>
      <c r="I96" s="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>
        <v>2752</v>
      </c>
      <c r="AF96" s="4"/>
      <c r="AG96" s="4">
        <f t="shared" si="12"/>
        <v>0</v>
      </c>
      <c r="AH96" s="4">
        <f t="shared" si="13"/>
        <v>0</v>
      </c>
      <c r="AI96" s="4">
        <f t="shared" si="14"/>
        <v>0</v>
      </c>
      <c r="AJ96" s="4">
        <f t="shared" si="15"/>
        <v>0</v>
      </c>
      <c r="AK96" s="4">
        <f t="shared" si="16"/>
        <v>0</v>
      </c>
      <c r="AL96" s="4">
        <f t="shared" si="17"/>
        <v>0</v>
      </c>
    </row>
    <row r="97" spans="1:38" s="19" customFormat="1">
      <c r="A97" s="1">
        <v>92</v>
      </c>
      <c r="B97" s="42" t="s">
        <v>26</v>
      </c>
      <c r="C97" s="14" t="s">
        <v>228</v>
      </c>
      <c r="D97" s="10" t="s">
        <v>128</v>
      </c>
      <c r="E97" s="3" t="s">
        <v>129</v>
      </c>
      <c r="F97" s="4">
        <v>185.7</v>
      </c>
      <c r="G97" s="4"/>
      <c r="H97" s="4"/>
      <c r="I97" s="4">
        <v>185.7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>
        <v>185.7</v>
      </c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>
        <f t="shared" si="12"/>
        <v>185.7</v>
      </c>
      <c r="AH97" s="4">
        <f t="shared" si="13"/>
        <v>185.7</v>
      </c>
      <c r="AI97" s="4">
        <f t="shared" si="14"/>
        <v>185.7</v>
      </c>
      <c r="AJ97" s="4">
        <f t="shared" si="15"/>
        <v>0</v>
      </c>
      <c r="AK97" s="4">
        <f t="shared" si="16"/>
        <v>0</v>
      </c>
      <c r="AL97" s="4">
        <f t="shared" si="17"/>
        <v>0</v>
      </c>
    </row>
    <row r="98" spans="1:38" s="19" customFormat="1">
      <c r="A98" s="1">
        <v>93</v>
      </c>
      <c r="B98" s="42" t="s">
        <v>26</v>
      </c>
      <c r="C98" s="14" t="s">
        <v>78</v>
      </c>
      <c r="D98" s="10" t="s">
        <v>185</v>
      </c>
      <c r="E98" s="3" t="s">
        <v>186</v>
      </c>
      <c r="F98" s="4">
        <v>654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>
        <v>654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>
        <v>654</v>
      </c>
      <c r="AD98" s="4"/>
      <c r="AE98" s="4"/>
      <c r="AF98" s="4"/>
      <c r="AG98" s="4">
        <f t="shared" si="12"/>
        <v>654</v>
      </c>
      <c r="AH98" s="4">
        <f t="shared" si="13"/>
        <v>654</v>
      </c>
      <c r="AI98" s="4">
        <f t="shared" si="14"/>
        <v>654</v>
      </c>
      <c r="AJ98" s="4">
        <f t="shared" si="15"/>
        <v>0</v>
      </c>
      <c r="AK98" s="4">
        <f t="shared" si="16"/>
        <v>0</v>
      </c>
      <c r="AL98" s="4">
        <f t="shared" si="17"/>
        <v>0</v>
      </c>
    </row>
    <row r="99" spans="1:38" s="19" customFormat="1">
      <c r="A99" s="1">
        <v>95</v>
      </c>
      <c r="B99" s="42" t="s">
        <v>26</v>
      </c>
      <c r="C99" s="14" t="s">
        <v>180</v>
      </c>
      <c r="D99" s="10" t="s">
        <v>88</v>
      </c>
      <c r="E99" s="3" t="s">
        <v>82</v>
      </c>
      <c r="F99" s="27">
        <v>641.44000000000005</v>
      </c>
      <c r="G99" s="4"/>
      <c r="H99" s="4"/>
      <c r="I99" s="4">
        <v>641.44000000000005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>
        <v>641.44000000000005</v>
      </c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>
        <f t="shared" si="12"/>
        <v>641.44000000000005</v>
      </c>
      <c r="AH99" s="4">
        <f t="shared" si="13"/>
        <v>641.44000000000005</v>
      </c>
      <c r="AI99" s="4">
        <f t="shared" si="14"/>
        <v>641.44000000000005</v>
      </c>
      <c r="AJ99" s="4">
        <f t="shared" si="15"/>
        <v>0</v>
      </c>
      <c r="AK99" s="4">
        <f t="shared" si="16"/>
        <v>0</v>
      </c>
      <c r="AL99" s="4">
        <f t="shared" si="17"/>
        <v>0</v>
      </c>
    </row>
    <row r="100" spans="1:38" s="19" customFormat="1">
      <c r="A100" s="1">
        <v>96</v>
      </c>
      <c r="B100" s="42" t="s">
        <v>26</v>
      </c>
      <c r="C100" s="14" t="s">
        <v>180</v>
      </c>
      <c r="D100" s="10" t="s">
        <v>88</v>
      </c>
      <c r="E100" s="3" t="s">
        <v>82</v>
      </c>
      <c r="F100" s="4">
        <v>154.13999999999999</v>
      </c>
      <c r="G100" s="4"/>
      <c r="H100" s="4"/>
      <c r="I100" s="4">
        <v>154.13999999999999</v>
      </c>
      <c r="J100" s="4"/>
      <c r="K100" s="4"/>
      <c r="L100" s="4"/>
      <c r="M100" s="5"/>
      <c r="N100" s="4"/>
      <c r="O100" s="4"/>
      <c r="P100" s="4"/>
      <c r="Q100" s="4"/>
      <c r="R100" s="4"/>
      <c r="S100" s="4"/>
      <c r="T100" s="4"/>
      <c r="U100" s="4">
        <v>154.13999999999999</v>
      </c>
      <c r="V100" s="4"/>
      <c r="W100" s="4"/>
      <c r="X100" s="4"/>
      <c r="Y100" s="5"/>
      <c r="Z100" s="4"/>
      <c r="AA100" s="4"/>
      <c r="AB100" s="4"/>
      <c r="AC100" s="4"/>
      <c r="AD100" s="4"/>
      <c r="AE100" s="4"/>
      <c r="AF100" s="4"/>
      <c r="AG100" s="4">
        <f t="shared" si="12"/>
        <v>154.13999999999999</v>
      </c>
      <c r="AH100" s="4">
        <f t="shared" si="13"/>
        <v>154.13999999999999</v>
      </c>
      <c r="AI100" s="4">
        <f t="shared" si="14"/>
        <v>154.13999999999999</v>
      </c>
      <c r="AJ100" s="4">
        <f t="shared" si="15"/>
        <v>0</v>
      </c>
      <c r="AK100" s="4">
        <f t="shared" si="16"/>
        <v>0</v>
      </c>
      <c r="AL100" s="4">
        <f t="shared" si="17"/>
        <v>0</v>
      </c>
    </row>
    <row r="101" spans="1:38" s="19" customFormat="1">
      <c r="A101" s="1">
        <v>97</v>
      </c>
      <c r="B101" s="42" t="s">
        <v>26</v>
      </c>
      <c r="C101" s="16" t="s">
        <v>162</v>
      </c>
      <c r="D101" s="10" t="s">
        <v>187</v>
      </c>
      <c r="E101" s="3" t="s">
        <v>188</v>
      </c>
      <c r="F101" s="4">
        <v>138.33000000000001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>
        <v>138.33000000000001</v>
      </c>
      <c r="AF101" s="4"/>
      <c r="AG101" s="4">
        <f t="shared" si="12"/>
        <v>0</v>
      </c>
      <c r="AH101" s="4">
        <f t="shared" si="13"/>
        <v>0</v>
      </c>
      <c r="AI101" s="4">
        <f t="shared" si="14"/>
        <v>0</v>
      </c>
      <c r="AJ101" s="4">
        <f t="shared" si="15"/>
        <v>0</v>
      </c>
      <c r="AK101" s="4">
        <f t="shared" si="16"/>
        <v>0</v>
      </c>
      <c r="AL101" s="4">
        <f t="shared" si="17"/>
        <v>0</v>
      </c>
    </row>
    <row r="102" spans="1:38" s="19" customFormat="1">
      <c r="A102" s="1">
        <v>98</v>
      </c>
      <c r="B102" s="42" t="s">
        <v>26</v>
      </c>
      <c r="C102" s="14" t="s">
        <v>162</v>
      </c>
      <c r="D102" s="10" t="s">
        <v>189</v>
      </c>
      <c r="E102" s="3" t="s">
        <v>190</v>
      </c>
      <c r="F102" s="4">
        <v>415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>
        <v>415</v>
      </c>
      <c r="AF102" s="4"/>
      <c r="AG102" s="4">
        <f t="shared" si="12"/>
        <v>0</v>
      </c>
      <c r="AH102" s="4">
        <f t="shared" si="13"/>
        <v>0</v>
      </c>
      <c r="AI102" s="4">
        <f t="shared" si="14"/>
        <v>0</v>
      </c>
      <c r="AJ102" s="4">
        <f t="shared" si="15"/>
        <v>0</v>
      </c>
      <c r="AK102" s="4">
        <f t="shared" si="16"/>
        <v>0</v>
      </c>
      <c r="AL102" s="4">
        <f t="shared" si="17"/>
        <v>0</v>
      </c>
    </row>
    <row r="103" spans="1:38" s="19" customFormat="1" ht="30">
      <c r="A103" s="1">
        <v>99</v>
      </c>
      <c r="B103" s="42" t="s">
        <v>26</v>
      </c>
      <c r="C103" s="14" t="s">
        <v>125</v>
      </c>
      <c r="D103" s="10" t="s">
        <v>191</v>
      </c>
      <c r="E103" s="3" t="s">
        <v>192</v>
      </c>
      <c r="F103" s="7">
        <v>1450</v>
      </c>
      <c r="G103" s="7"/>
      <c r="H103" s="7"/>
      <c r="I103" s="7"/>
      <c r="J103" s="7">
        <v>1450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>
        <v>1450</v>
      </c>
      <c r="X103" s="7"/>
      <c r="Y103" s="7"/>
      <c r="Z103" s="7"/>
      <c r="AA103" s="7"/>
      <c r="AB103" s="7"/>
      <c r="AC103" s="7"/>
      <c r="AD103" s="7"/>
      <c r="AE103" s="7"/>
      <c r="AF103" s="7"/>
      <c r="AG103" s="4">
        <f t="shared" si="12"/>
        <v>1450</v>
      </c>
      <c r="AH103" s="4">
        <f t="shared" si="13"/>
        <v>1450</v>
      </c>
      <c r="AI103" s="4">
        <f t="shared" si="14"/>
        <v>1450</v>
      </c>
      <c r="AJ103" s="4">
        <f t="shared" si="15"/>
        <v>0</v>
      </c>
      <c r="AK103" s="4">
        <f t="shared" si="16"/>
        <v>0</v>
      </c>
      <c r="AL103" s="4">
        <f t="shared" si="17"/>
        <v>0</v>
      </c>
    </row>
    <row r="104" spans="1:38" s="19" customFormat="1" ht="45">
      <c r="A104" s="1">
        <v>105</v>
      </c>
      <c r="B104" s="42" t="s">
        <v>26</v>
      </c>
      <c r="C104" s="14" t="s">
        <v>292</v>
      </c>
      <c r="D104" s="10" t="s">
        <v>37</v>
      </c>
      <c r="E104" s="3" t="s">
        <v>38</v>
      </c>
      <c r="F104" s="4">
        <v>337.5</v>
      </c>
      <c r="G104" s="1"/>
      <c r="H104" s="1"/>
      <c r="I104" s="1"/>
      <c r="J104" s="4">
        <v>337.5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4">
        <v>337.5</v>
      </c>
      <c r="W104" s="1"/>
      <c r="X104" s="1"/>
      <c r="Y104" s="1"/>
      <c r="Z104" s="1"/>
      <c r="AA104" s="1"/>
      <c r="AB104" s="1"/>
      <c r="AC104" s="1"/>
      <c r="AD104" s="1"/>
      <c r="AE104" s="4"/>
      <c r="AF104" s="4"/>
      <c r="AG104" s="4">
        <f t="shared" ref="AG104:AG135" si="18">F104-AE104+AF104</f>
        <v>337.5</v>
      </c>
      <c r="AH104" s="4">
        <f t="shared" ref="AH104:AH135" si="19">SUM(G104:R104)</f>
        <v>337.5</v>
      </c>
      <c r="AI104" s="4">
        <f t="shared" ref="AI104:AI135" si="20">SUM(S104:AD104)</f>
        <v>337.5</v>
      </c>
      <c r="AJ104" s="4">
        <f t="shared" ref="AJ104:AJ135" si="21">(AH104-AI104)+(AG104-AH104)</f>
        <v>0</v>
      </c>
      <c r="AK104" s="4">
        <f t="shared" ref="AK104:AK135" si="22">AH104-AI104</f>
        <v>0</v>
      </c>
      <c r="AL104" s="4">
        <f t="shared" ref="AL104:AL135" si="23">AG104-AH104</f>
        <v>0</v>
      </c>
    </row>
    <row r="105" spans="1:38" s="19" customFormat="1">
      <c r="A105" s="1">
        <v>112</v>
      </c>
      <c r="B105" s="42" t="s">
        <v>26</v>
      </c>
      <c r="C105" s="14" t="s">
        <v>194</v>
      </c>
      <c r="D105" s="10" t="s">
        <v>59</v>
      </c>
      <c r="E105" s="3" t="s">
        <v>60</v>
      </c>
      <c r="F105" s="4">
        <v>5280</v>
      </c>
      <c r="G105" s="42"/>
      <c r="H105" s="42"/>
      <c r="I105" s="42"/>
      <c r="J105" s="4">
        <v>5280</v>
      </c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">
        <v>5280</v>
      </c>
      <c r="W105" s="42"/>
      <c r="X105" s="42"/>
      <c r="Y105" s="42"/>
      <c r="Z105" s="42"/>
      <c r="AA105" s="42"/>
      <c r="AB105" s="42"/>
      <c r="AC105" s="42"/>
      <c r="AD105" s="42"/>
      <c r="AE105" s="4"/>
      <c r="AF105" s="4"/>
      <c r="AG105" s="4">
        <f t="shared" si="18"/>
        <v>5280</v>
      </c>
      <c r="AH105" s="4">
        <f t="shared" si="19"/>
        <v>5280</v>
      </c>
      <c r="AI105" s="4">
        <f t="shared" si="20"/>
        <v>5280</v>
      </c>
      <c r="AJ105" s="4">
        <f t="shared" si="21"/>
        <v>0</v>
      </c>
      <c r="AK105" s="4">
        <f t="shared" si="22"/>
        <v>0</v>
      </c>
      <c r="AL105" s="4">
        <f t="shared" si="23"/>
        <v>0</v>
      </c>
    </row>
    <row r="106" spans="1:38" s="19" customFormat="1" ht="30">
      <c r="A106" s="1">
        <v>116</v>
      </c>
      <c r="B106" s="42" t="s">
        <v>27</v>
      </c>
      <c r="C106" s="14" t="s">
        <v>193</v>
      </c>
      <c r="D106" s="10" t="s">
        <v>93</v>
      </c>
      <c r="E106" s="3" t="s">
        <v>45</v>
      </c>
      <c r="F106" s="4">
        <v>10000</v>
      </c>
      <c r="G106" s="4"/>
      <c r="H106" s="4"/>
      <c r="I106" s="4"/>
      <c r="J106" s="4">
        <v>3735</v>
      </c>
      <c r="K106" s="4">
        <v>3582.83</v>
      </c>
      <c r="L106" s="4">
        <v>2974.17</v>
      </c>
      <c r="M106" s="4">
        <v>2905</v>
      </c>
      <c r="N106" s="4">
        <v>2614.5</v>
      </c>
      <c r="O106" s="4">
        <v>2393.17</v>
      </c>
      <c r="P106" s="4">
        <v>2490</v>
      </c>
      <c r="Q106" s="4">
        <v>2877.33</v>
      </c>
      <c r="R106" s="4">
        <v>2905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7"/>
      <c r="AD106" s="4"/>
      <c r="AE106" s="4">
        <v>423</v>
      </c>
      <c r="AF106" s="4">
        <v>16900</v>
      </c>
      <c r="AG106" s="4">
        <f t="shared" si="18"/>
        <v>26477</v>
      </c>
      <c r="AH106" s="4">
        <f t="shared" si="19"/>
        <v>26477</v>
      </c>
      <c r="AI106" s="4">
        <f t="shared" si="20"/>
        <v>0</v>
      </c>
      <c r="AJ106" s="4">
        <f t="shared" si="21"/>
        <v>26477</v>
      </c>
      <c r="AK106" s="4">
        <f t="shared" si="22"/>
        <v>26477</v>
      </c>
      <c r="AL106" s="4">
        <f t="shared" si="23"/>
        <v>0</v>
      </c>
    </row>
    <row r="107" spans="1:38" s="19" customFormat="1">
      <c r="A107" s="1">
        <v>121</v>
      </c>
      <c r="B107" s="42" t="s">
        <v>26</v>
      </c>
      <c r="C107" s="14" t="s">
        <v>125</v>
      </c>
      <c r="D107" s="10" t="s">
        <v>126</v>
      </c>
      <c r="E107" s="3" t="s">
        <v>127</v>
      </c>
      <c r="F107" s="4">
        <v>5000</v>
      </c>
      <c r="G107" s="42"/>
      <c r="H107" s="42"/>
      <c r="I107" s="42"/>
      <c r="J107" s="42"/>
      <c r="K107" s="42"/>
      <c r="L107" s="4">
        <v>5000</v>
      </c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">
        <v>5000</v>
      </c>
      <c r="Y107" s="42"/>
      <c r="Z107" s="42"/>
      <c r="AA107" s="42"/>
      <c r="AB107" s="42"/>
      <c r="AC107" s="42"/>
      <c r="AD107" s="42"/>
      <c r="AE107" s="4"/>
      <c r="AF107" s="4"/>
      <c r="AG107" s="4">
        <f t="shared" si="18"/>
        <v>5000</v>
      </c>
      <c r="AH107" s="4">
        <f t="shared" si="19"/>
        <v>5000</v>
      </c>
      <c r="AI107" s="4">
        <f t="shared" si="20"/>
        <v>5000</v>
      </c>
      <c r="AJ107" s="4">
        <f t="shared" si="21"/>
        <v>0</v>
      </c>
      <c r="AK107" s="4">
        <f t="shared" si="22"/>
        <v>0</v>
      </c>
      <c r="AL107" s="4">
        <f t="shared" si="23"/>
        <v>0</v>
      </c>
    </row>
    <row r="108" spans="1:38" s="19" customFormat="1">
      <c r="A108" s="1">
        <v>126</v>
      </c>
      <c r="B108" s="42" t="s">
        <v>26</v>
      </c>
      <c r="C108" s="14" t="s">
        <v>162</v>
      </c>
      <c r="D108" s="10" t="s">
        <v>199</v>
      </c>
      <c r="E108" s="3" t="s">
        <v>200</v>
      </c>
      <c r="F108" s="4">
        <v>760.83</v>
      </c>
      <c r="G108" s="4"/>
      <c r="H108" s="4"/>
      <c r="I108" s="4"/>
      <c r="J108" s="4"/>
      <c r="K108" s="4"/>
      <c r="L108" s="4">
        <v>760.83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>
        <v>760.83</v>
      </c>
      <c r="Y108" s="4"/>
      <c r="Z108" s="4"/>
      <c r="AA108" s="4"/>
      <c r="AB108" s="4"/>
      <c r="AC108" s="4"/>
      <c r="AD108" s="4"/>
      <c r="AE108" s="4"/>
      <c r="AF108" s="4"/>
      <c r="AG108" s="4">
        <f t="shared" si="18"/>
        <v>760.83</v>
      </c>
      <c r="AH108" s="4">
        <f t="shared" si="19"/>
        <v>760.83</v>
      </c>
      <c r="AI108" s="4">
        <f t="shared" si="20"/>
        <v>760.83</v>
      </c>
      <c r="AJ108" s="4">
        <f t="shared" si="21"/>
        <v>0</v>
      </c>
      <c r="AK108" s="4">
        <f t="shared" si="22"/>
        <v>0</v>
      </c>
      <c r="AL108" s="4">
        <f t="shared" si="23"/>
        <v>0</v>
      </c>
    </row>
    <row r="109" spans="1:38" s="19" customFormat="1">
      <c r="A109" s="1">
        <v>130</v>
      </c>
      <c r="B109" s="42" t="s">
        <v>26</v>
      </c>
      <c r="C109" s="14" t="s">
        <v>176</v>
      </c>
      <c r="D109" s="10" t="s">
        <v>37</v>
      </c>
      <c r="E109" s="3" t="s">
        <v>38</v>
      </c>
      <c r="F109" s="4">
        <v>112.5</v>
      </c>
      <c r="G109" s="4"/>
      <c r="H109" s="4"/>
      <c r="I109" s="4"/>
      <c r="J109" s="4"/>
      <c r="K109" s="4"/>
      <c r="L109" s="4">
        <v>112.5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>
        <v>112.5</v>
      </c>
      <c r="Y109" s="4"/>
      <c r="Z109" s="4"/>
      <c r="AA109" s="4"/>
      <c r="AB109" s="4"/>
      <c r="AC109" s="4"/>
      <c r="AD109" s="4"/>
      <c r="AE109" s="4"/>
      <c r="AF109" s="4"/>
      <c r="AG109" s="4">
        <f t="shared" si="18"/>
        <v>112.5</v>
      </c>
      <c r="AH109" s="4">
        <f t="shared" si="19"/>
        <v>112.5</v>
      </c>
      <c r="AI109" s="4">
        <f t="shared" si="20"/>
        <v>112.5</v>
      </c>
      <c r="AJ109" s="4">
        <f t="shared" si="21"/>
        <v>0</v>
      </c>
      <c r="AK109" s="4">
        <f t="shared" si="22"/>
        <v>0</v>
      </c>
      <c r="AL109" s="4">
        <f t="shared" si="23"/>
        <v>0</v>
      </c>
    </row>
    <row r="110" spans="1:38" s="19" customFormat="1">
      <c r="A110" s="1">
        <v>131</v>
      </c>
      <c r="B110" s="42" t="s">
        <v>26</v>
      </c>
      <c r="C110" s="14" t="s">
        <v>153</v>
      </c>
      <c r="D110" s="10" t="s">
        <v>201</v>
      </c>
      <c r="E110" s="3" t="s">
        <v>202</v>
      </c>
      <c r="F110" s="4">
        <v>5000</v>
      </c>
      <c r="G110" s="4"/>
      <c r="H110" s="4"/>
      <c r="I110" s="4"/>
      <c r="J110" s="4"/>
      <c r="K110" s="4"/>
      <c r="L110" s="4">
        <v>5000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>
        <v>5000</v>
      </c>
      <c r="Y110" s="4"/>
      <c r="Z110" s="4"/>
      <c r="AA110" s="4"/>
      <c r="AB110" s="4"/>
      <c r="AC110" s="4"/>
      <c r="AD110" s="4"/>
      <c r="AE110" s="4"/>
      <c r="AF110" s="4"/>
      <c r="AG110" s="4">
        <f t="shared" si="18"/>
        <v>5000</v>
      </c>
      <c r="AH110" s="4">
        <f t="shared" si="19"/>
        <v>5000</v>
      </c>
      <c r="AI110" s="4">
        <f t="shared" si="20"/>
        <v>5000</v>
      </c>
      <c r="AJ110" s="4">
        <f t="shared" si="21"/>
        <v>0</v>
      </c>
      <c r="AK110" s="4">
        <f t="shared" si="22"/>
        <v>0</v>
      </c>
      <c r="AL110" s="4">
        <f t="shared" si="23"/>
        <v>0</v>
      </c>
    </row>
    <row r="111" spans="1:38" s="19" customFormat="1" ht="135">
      <c r="A111" s="1">
        <v>132</v>
      </c>
      <c r="B111" s="42" t="s">
        <v>27</v>
      </c>
      <c r="C111" s="14" t="s">
        <v>293</v>
      </c>
      <c r="D111" s="10" t="s">
        <v>195</v>
      </c>
      <c r="E111" s="3" t="s">
        <v>196</v>
      </c>
      <c r="F111" s="4">
        <v>6875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>
        <v>6875</v>
      </c>
      <c r="AF111" s="4"/>
      <c r="AG111" s="4">
        <f t="shared" si="18"/>
        <v>0</v>
      </c>
      <c r="AH111" s="4">
        <f t="shared" si="19"/>
        <v>0</v>
      </c>
      <c r="AI111" s="4">
        <f t="shared" si="20"/>
        <v>0</v>
      </c>
      <c r="AJ111" s="4">
        <f t="shared" si="21"/>
        <v>0</v>
      </c>
      <c r="AK111" s="4">
        <f t="shared" si="22"/>
        <v>0</v>
      </c>
      <c r="AL111" s="4">
        <f t="shared" si="23"/>
        <v>0</v>
      </c>
    </row>
    <row r="112" spans="1:38" s="19" customFormat="1" ht="30">
      <c r="A112" s="1">
        <v>133</v>
      </c>
      <c r="B112" s="42" t="s">
        <v>27</v>
      </c>
      <c r="C112" s="14" t="s">
        <v>33</v>
      </c>
      <c r="D112" s="10" t="s">
        <v>197</v>
      </c>
      <c r="E112" s="3" t="s">
        <v>198</v>
      </c>
      <c r="F112" s="4">
        <v>20000</v>
      </c>
      <c r="G112" s="4"/>
      <c r="H112" s="4"/>
      <c r="I112" s="4"/>
      <c r="J112" s="4"/>
      <c r="K112" s="4"/>
      <c r="L112" s="4"/>
      <c r="M112" s="4"/>
      <c r="N112" s="4"/>
      <c r="O112" s="4"/>
      <c r="P112" s="4">
        <v>1529.02</v>
      </c>
      <c r="Q112" s="4"/>
      <c r="R112" s="4">
        <v>8306.31</v>
      </c>
      <c r="S112" s="4"/>
      <c r="T112" s="4"/>
      <c r="U112" s="4"/>
      <c r="V112" s="4"/>
      <c r="W112" s="4"/>
      <c r="X112" s="4"/>
      <c r="Y112" s="4"/>
      <c r="Z112" s="4"/>
      <c r="AA112" s="4"/>
      <c r="AB112" s="4">
        <v>1529.02</v>
      </c>
      <c r="AC112" s="4"/>
      <c r="AD112" s="4">
        <v>8306.31</v>
      </c>
      <c r="AE112" s="4">
        <v>20164.669999999998</v>
      </c>
      <c r="AF112" s="4">
        <v>10000</v>
      </c>
      <c r="AG112" s="4">
        <f t="shared" si="18"/>
        <v>9835.3300000000017</v>
      </c>
      <c r="AH112" s="4">
        <f t="shared" si="19"/>
        <v>9835.33</v>
      </c>
      <c r="AI112" s="4">
        <f t="shared" si="20"/>
        <v>9835.33</v>
      </c>
      <c r="AJ112" s="4">
        <f t="shared" si="21"/>
        <v>1.8189894035458565E-12</v>
      </c>
      <c r="AK112" s="4">
        <f t="shared" si="22"/>
        <v>0</v>
      </c>
      <c r="AL112" s="4">
        <f t="shared" si="23"/>
        <v>0</v>
      </c>
    </row>
    <row r="113" spans="1:38" s="19" customFormat="1" ht="60">
      <c r="A113" s="1">
        <v>140</v>
      </c>
      <c r="B113" s="42" t="s">
        <v>26</v>
      </c>
      <c r="C113" s="14" t="s">
        <v>229</v>
      </c>
      <c r="D113" s="17" t="s">
        <v>167</v>
      </c>
      <c r="E113" s="3" t="s">
        <v>168</v>
      </c>
      <c r="F113" s="4">
        <v>409.5</v>
      </c>
      <c r="G113" s="4"/>
      <c r="H113" s="4"/>
      <c r="I113" s="4"/>
      <c r="J113" s="4"/>
      <c r="K113" s="4"/>
      <c r="L113" s="4"/>
      <c r="M113" s="4"/>
      <c r="N113" s="4">
        <v>409.5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>
        <v>409.5</v>
      </c>
      <c r="AA113" s="4"/>
      <c r="AB113" s="4"/>
      <c r="AC113" s="4"/>
      <c r="AD113" s="4"/>
      <c r="AE113" s="4"/>
      <c r="AF113" s="4"/>
      <c r="AG113" s="4">
        <f t="shared" si="18"/>
        <v>409.5</v>
      </c>
      <c r="AH113" s="4">
        <f t="shared" si="19"/>
        <v>409.5</v>
      </c>
      <c r="AI113" s="4">
        <f t="shared" si="20"/>
        <v>409.5</v>
      </c>
      <c r="AJ113" s="4">
        <f t="shared" si="21"/>
        <v>0</v>
      </c>
      <c r="AK113" s="4">
        <f t="shared" si="22"/>
        <v>0</v>
      </c>
      <c r="AL113" s="4">
        <f t="shared" si="23"/>
        <v>0</v>
      </c>
    </row>
    <row r="114" spans="1:38" s="19" customFormat="1" ht="60">
      <c r="A114" s="1">
        <v>141</v>
      </c>
      <c r="B114" s="42" t="s">
        <v>27</v>
      </c>
      <c r="C114" s="14" t="s">
        <v>203</v>
      </c>
      <c r="D114" s="18" t="s">
        <v>204</v>
      </c>
      <c r="E114" s="3" t="s">
        <v>205</v>
      </c>
      <c r="F114" s="4">
        <v>7934.88</v>
      </c>
      <c r="G114" s="4"/>
      <c r="H114" s="4"/>
      <c r="I114" s="4"/>
      <c r="J114" s="4"/>
      <c r="K114" s="4"/>
      <c r="L114" s="4"/>
      <c r="M114" s="4"/>
      <c r="N114" s="4"/>
      <c r="O114" s="4">
        <v>1774.02</v>
      </c>
      <c r="P114" s="4"/>
      <c r="Q114" s="4">
        <f>341.95+330.62</f>
        <v>672.56999999999994</v>
      </c>
      <c r="R114" s="4">
        <v>319.29000000000002</v>
      </c>
      <c r="S114" s="4"/>
      <c r="T114" s="4"/>
      <c r="U114" s="4"/>
      <c r="V114" s="4"/>
      <c r="W114" s="4"/>
      <c r="X114" s="4"/>
      <c r="Y114" s="4"/>
      <c r="Z114" s="4"/>
      <c r="AA114" s="4">
        <v>1774.02</v>
      </c>
      <c r="AB114" s="4"/>
      <c r="AC114" s="4">
        <f>341.95+330.62</f>
        <v>672.56999999999994</v>
      </c>
      <c r="AD114" s="4">
        <v>319.29000000000002</v>
      </c>
      <c r="AE114" s="4">
        <v>5169</v>
      </c>
      <c r="AF114" s="4"/>
      <c r="AG114" s="4">
        <f t="shared" si="18"/>
        <v>2765.88</v>
      </c>
      <c r="AH114" s="4">
        <f t="shared" si="19"/>
        <v>2765.88</v>
      </c>
      <c r="AI114" s="4">
        <f t="shared" si="20"/>
        <v>2765.88</v>
      </c>
      <c r="AJ114" s="4">
        <f t="shared" si="21"/>
        <v>0</v>
      </c>
      <c r="AK114" s="4">
        <f t="shared" si="22"/>
        <v>0</v>
      </c>
      <c r="AL114" s="4">
        <f t="shared" si="23"/>
        <v>0</v>
      </c>
    </row>
    <row r="115" spans="1:38" s="19" customFormat="1" ht="45">
      <c r="A115" s="1">
        <v>142</v>
      </c>
      <c r="B115" s="42" t="s">
        <v>27</v>
      </c>
      <c r="C115" s="14" t="s">
        <v>206</v>
      </c>
      <c r="D115" s="10" t="s">
        <v>80</v>
      </c>
      <c r="E115" s="3" t="s">
        <v>81</v>
      </c>
      <c r="F115" s="4">
        <v>9408</v>
      </c>
      <c r="G115" s="4"/>
      <c r="H115" s="4"/>
      <c r="I115" s="4"/>
      <c r="J115" s="4"/>
      <c r="K115" s="4"/>
      <c r="L115" s="4">
        <v>2387.9299999999998</v>
      </c>
      <c r="M115" s="4">
        <v>2641.45</v>
      </c>
      <c r="N115" s="4">
        <f>1939.46+1939.46</f>
        <v>3878.92</v>
      </c>
      <c r="O115" s="4"/>
      <c r="P115" s="4"/>
      <c r="Q115" s="4"/>
      <c r="R115" s="4"/>
      <c r="S115" s="4"/>
      <c r="T115" s="4"/>
      <c r="U115" s="4"/>
      <c r="V115" s="4"/>
      <c r="W115" s="4">
        <v>2387.9299999999998</v>
      </c>
      <c r="X115" s="4">
        <v>2641.45</v>
      </c>
      <c r="Y115" s="4"/>
      <c r="Z115" s="4">
        <f>1939.46+1939.46</f>
        <v>3878.92</v>
      </c>
      <c r="AA115" s="4"/>
      <c r="AB115" s="4"/>
      <c r="AC115" s="4"/>
      <c r="AD115" s="4"/>
      <c r="AE115" s="4">
        <v>499.7</v>
      </c>
      <c r="AF115" s="4"/>
      <c r="AG115" s="4">
        <f t="shared" si="18"/>
        <v>8908.2999999999993</v>
      </c>
      <c r="AH115" s="4">
        <f t="shared" si="19"/>
        <v>8908.2999999999993</v>
      </c>
      <c r="AI115" s="4">
        <f t="shared" si="20"/>
        <v>8908.2999999999993</v>
      </c>
      <c r="AJ115" s="4">
        <f t="shared" si="21"/>
        <v>0</v>
      </c>
      <c r="AK115" s="4">
        <f t="shared" si="22"/>
        <v>0</v>
      </c>
      <c r="AL115" s="4">
        <f t="shared" si="23"/>
        <v>0</v>
      </c>
    </row>
    <row r="116" spans="1:38" s="19" customFormat="1">
      <c r="A116" s="1">
        <v>143</v>
      </c>
      <c r="B116" s="42" t="s">
        <v>26</v>
      </c>
      <c r="C116" s="14" t="s">
        <v>162</v>
      </c>
      <c r="D116" s="10" t="s">
        <v>207</v>
      </c>
      <c r="E116" s="3" t="s">
        <v>208</v>
      </c>
      <c r="F116" s="4">
        <v>622.5</v>
      </c>
      <c r="G116" s="4"/>
      <c r="H116" s="4"/>
      <c r="I116" s="4"/>
      <c r="J116" s="4"/>
      <c r="K116" s="4"/>
      <c r="L116" s="4"/>
      <c r="M116" s="4">
        <v>622.5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>
        <v>622.5</v>
      </c>
      <c r="Z116" s="4"/>
      <c r="AA116" s="4"/>
      <c r="AB116" s="4"/>
      <c r="AC116" s="4"/>
      <c r="AD116" s="4"/>
      <c r="AE116" s="4"/>
      <c r="AF116" s="4"/>
      <c r="AG116" s="4">
        <f t="shared" si="18"/>
        <v>622.5</v>
      </c>
      <c r="AH116" s="4">
        <f t="shared" si="19"/>
        <v>622.5</v>
      </c>
      <c r="AI116" s="4">
        <f t="shared" si="20"/>
        <v>622.5</v>
      </c>
      <c r="AJ116" s="4">
        <f t="shared" si="21"/>
        <v>0</v>
      </c>
      <c r="AK116" s="4">
        <f t="shared" si="22"/>
        <v>0</v>
      </c>
      <c r="AL116" s="4">
        <f t="shared" si="23"/>
        <v>0</v>
      </c>
    </row>
    <row r="117" spans="1:38" s="19" customFormat="1">
      <c r="A117" s="1">
        <v>149</v>
      </c>
      <c r="B117" s="42" t="s">
        <v>26</v>
      </c>
      <c r="C117" s="14" t="s">
        <v>162</v>
      </c>
      <c r="D117" s="10" t="s">
        <v>209</v>
      </c>
      <c r="E117" s="3" t="s">
        <v>210</v>
      </c>
      <c r="F117" s="4">
        <v>415</v>
      </c>
      <c r="G117" s="4"/>
      <c r="H117" s="4"/>
      <c r="I117" s="4"/>
      <c r="J117" s="4"/>
      <c r="K117" s="4"/>
      <c r="L117" s="4"/>
      <c r="M117" s="4">
        <v>415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>
        <v>415</v>
      </c>
      <c r="Z117" s="4"/>
      <c r="AA117" s="4"/>
      <c r="AB117" s="4"/>
      <c r="AC117" s="4"/>
      <c r="AD117" s="4"/>
      <c r="AE117" s="4"/>
      <c r="AF117" s="4"/>
      <c r="AG117" s="4">
        <f t="shared" si="18"/>
        <v>415</v>
      </c>
      <c r="AH117" s="4">
        <f t="shared" si="19"/>
        <v>415</v>
      </c>
      <c r="AI117" s="4">
        <f t="shared" si="20"/>
        <v>415</v>
      </c>
      <c r="AJ117" s="4">
        <f t="shared" si="21"/>
        <v>0</v>
      </c>
      <c r="AK117" s="4">
        <f t="shared" si="22"/>
        <v>0</v>
      </c>
      <c r="AL117" s="4">
        <f t="shared" si="23"/>
        <v>0</v>
      </c>
    </row>
    <row r="118" spans="1:38" s="19" customFormat="1">
      <c r="A118" s="1">
        <v>150</v>
      </c>
      <c r="B118" s="42" t="s">
        <v>26</v>
      </c>
      <c r="C118" s="14" t="s">
        <v>162</v>
      </c>
      <c r="D118" s="10" t="s">
        <v>211</v>
      </c>
      <c r="E118" s="3" t="s">
        <v>212</v>
      </c>
      <c r="F118" s="4">
        <v>1856.84</v>
      </c>
      <c r="G118" s="4"/>
      <c r="H118" s="4"/>
      <c r="I118" s="4"/>
      <c r="J118" s="4"/>
      <c r="K118" s="4"/>
      <c r="L118" s="4"/>
      <c r="M118" s="4">
        <v>1856.84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>
        <v>1856.84</v>
      </c>
      <c r="Z118" s="4"/>
      <c r="AA118" s="4"/>
      <c r="AB118" s="4"/>
      <c r="AC118" s="4"/>
      <c r="AD118" s="4"/>
      <c r="AE118" s="4"/>
      <c r="AF118" s="4"/>
      <c r="AG118" s="4">
        <f t="shared" si="18"/>
        <v>1856.84</v>
      </c>
      <c r="AH118" s="4">
        <f t="shared" si="19"/>
        <v>1856.84</v>
      </c>
      <c r="AI118" s="4">
        <f t="shared" si="20"/>
        <v>1856.84</v>
      </c>
      <c r="AJ118" s="4">
        <f t="shared" si="21"/>
        <v>0</v>
      </c>
      <c r="AK118" s="4">
        <f t="shared" si="22"/>
        <v>0</v>
      </c>
      <c r="AL118" s="4">
        <f t="shared" si="23"/>
        <v>0</v>
      </c>
    </row>
    <row r="119" spans="1:38" s="19" customFormat="1">
      <c r="A119" s="1">
        <v>151</v>
      </c>
      <c r="B119" s="42" t="s">
        <v>26</v>
      </c>
      <c r="C119" s="14" t="s">
        <v>213</v>
      </c>
      <c r="D119" s="10" t="s">
        <v>211</v>
      </c>
      <c r="E119" s="3" t="s">
        <v>212</v>
      </c>
      <c r="F119" s="4">
        <v>116.05</v>
      </c>
      <c r="G119" s="4"/>
      <c r="H119" s="4"/>
      <c r="I119" s="4"/>
      <c r="J119" s="4"/>
      <c r="K119" s="4"/>
      <c r="L119" s="4"/>
      <c r="M119" s="4">
        <v>116.05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>
        <v>116.05</v>
      </c>
      <c r="Z119" s="4"/>
      <c r="AA119" s="4"/>
      <c r="AB119" s="4"/>
      <c r="AC119" s="4"/>
      <c r="AD119" s="4"/>
      <c r="AE119" s="4"/>
      <c r="AF119" s="4"/>
      <c r="AG119" s="4">
        <f t="shared" si="18"/>
        <v>116.05</v>
      </c>
      <c r="AH119" s="4">
        <f t="shared" si="19"/>
        <v>116.05</v>
      </c>
      <c r="AI119" s="4">
        <f t="shared" si="20"/>
        <v>116.05</v>
      </c>
      <c r="AJ119" s="4">
        <f t="shared" si="21"/>
        <v>0</v>
      </c>
      <c r="AK119" s="4">
        <f t="shared" si="22"/>
        <v>0</v>
      </c>
      <c r="AL119" s="4">
        <f t="shared" si="23"/>
        <v>0</v>
      </c>
    </row>
    <row r="120" spans="1:38" s="19" customFormat="1">
      <c r="A120" s="1">
        <v>161</v>
      </c>
      <c r="B120" s="42" t="s">
        <v>26</v>
      </c>
      <c r="C120" s="14" t="s">
        <v>78</v>
      </c>
      <c r="D120" s="10" t="s">
        <v>185</v>
      </c>
      <c r="E120" s="3" t="s">
        <v>186</v>
      </c>
      <c r="F120" s="4">
        <v>429</v>
      </c>
      <c r="G120" s="4"/>
      <c r="H120" s="4"/>
      <c r="I120" s="4"/>
      <c r="J120" s="4"/>
      <c r="K120" s="4"/>
      <c r="L120" s="4"/>
      <c r="M120" s="4">
        <v>429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>
        <v>429</v>
      </c>
      <c r="Z120" s="4"/>
      <c r="AA120" s="4"/>
      <c r="AB120" s="4"/>
      <c r="AC120" s="4"/>
      <c r="AD120" s="4"/>
      <c r="AE120" s="4"/>
      <c r="AF120" s="4"/>
      <c r="AG120" s="4">
        <f t="shared" si="18"/>
        <v>429</v>
      </c>
      <c r="AH120" s="4">
        <f t="shared" si="19"/>
        <v>429</v>
      </c>
      <c r="AI120" s="4">
        <f t="shared" si="20"/>
        <v>429</v>
      </c>
      <c r="AJ120" s="4">
        <f t="shared" si="21"/>
        <v>0</v>
      </c>
      <c r="AK120" s="4">
        <f t="shared" si="22"/>
        <v>0</v>
      </c>
      <c r="AL120" s="4">
        <f t="shared" si="23"/>
        <v>0</v>
      </c>
    </row>
    <row r="121" spans="1:38" s="19" customFormat="1">
      <c r="A121" s="1">
        <v>166</v>
      </c>
      <c r="B121" s="42" t="s">
        <v>27</v>
      </c>
      <c r="C121" s="14" t="s">
        <v>214</v>
      </c>
      <c r="D121" s="10" t="s">
        <v>172</v>
      </c>
      <c r="E121" s="3" t="s">
        <v>173</v>
      </c>
      <c r="F121" s="4">
        <v>30000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>
        <v>30000</v>
      </c>
      <c r="AF121" s="4"/>
      <c r="AG121" s="4">
        <f t="shared" si="18"/>
        <v>0</v>
      </c>
      <c r="AH121" s="4">
        <f t="shared" si="19"/>
        <v>0</v>
      </c>
      <c r="AI121" s="4">
        <f t="shared" si="20"/>
        <v>0</v>
      </c>
      <c r="AJ121" s="4">
        <f t="shared" si="21"/>
        <v>0</v>
      </c>
      <c r="AK121" s="4">
        <f t="shared" si="22"/>
        <v>0</v>
      </c>
      <c r="AL121" s="4">
        <f t="shared" si="23"/>
        <v>0</v>
      </c>
    </row>
    <row r="122" spans="1:38" s="19" customFormat="1">
      <c r="A122" s="1">
        <v>167</v>
      </c>
      <c r="B122" s="42" t="s">
        <v>27</v>
      </c>
      <c r="C122" s="14" t="s">
        <v>214</v>
      </c>
      <c r="D122" s="10" t="s">
        <v>172</v>
      </c>
      <c r="E122" s="3" t="s">
        <v>173</v>
      </c>
      <c r="F122" s="4">
        <v>30000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>
        <v>30000</v>
      </c>
      <c r="AF122" s="4"/>
      <c r="AG122" s="4">
        <f t="shared" si="18"/>
        <v>0</v>
      </c>
      <c r="AH122" s="4">
        <f t="shared" si="19"/>
        <v>0</v>
      </c>
      <c r="AI122" s="4">
        <f t="shared" si="20"/>
        <v>0</v>
      </c>
      <c r="AJ122" s="4">
        <f t="shared" si="21"/>
        <v>0</v>
      </c>
      <c r="AK122" s="4">
        <f t="shared" si="22"/>
        <v>0</v>
      </c>
      <c r="AL122" s="4">
        <f t="shared" si="23"/>
        <v>0</v>
      </c>
    </row>
    <row r="123" spans="1:38" s="19" customFormat="1">
      <c r="A123" s="1">
        <v>171</v>
      </c>
      <c r="B123" s="42" t="s">
        <v>26</v>
      </c>
      <c r="C123" s="14" t="s">
        <v>220</v>
      </c>
      <c r="D123" s="10" t="s">
        <v>221</v>
      </c>
      <c r="E123" s="3" t="s">
        <v>222</v>
      </c>
      <c r="F123" s="4">
        <v>115.11</v>
      </c>
      <c r="G123" s="4"/>
      <c r="H123" s="4"/>
      <c r="I123" s="4"/>
      <c r="J123" s="4"/>
      <c r="K123" s="4"/>
      <c r="L123" s="4"/>
      <c r="M123" s="4"/>
      <c r="N123" s="4">
        <v>115.11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>
        <v>115.11</v>
      </c>
      <c r="AA123" s="4"/>
      <c r="AB123" s="4"/>
      <c r="AC123" s="4"/>
      <c r="AD123" s="4"/>
      <c r="AE123" s="4"/>
      <c r="AF123" s="4"/>
      <c r="AG123" s="4">
        <f t="shared" si="18"/>
        <v>115.11</v>
      </c>
      <c r="AH123" s="4">
        <f t="shared" si="19"/>
        <v>115.11</v>
      </c>
      <c r="AI123" s="4">
        <f t="shared" si="20"/>
        <v>115.11</v>
      </c>
      <c r="AJ123" s="4">
        <f t="shared" si="21"/>
        <v>0</v>
      </c>
      <c r="AK123" s="4">
        <f t="shared" si="22"/>
        <v>0</v>
      </c>
      <c r="AL123" s="4">
        <f t="shared" si="23"/>
        <v>0</v>
      </c>
    </row>
    <row r="124" spans="1:38" s="19" customFormat="1" ht="30">
      <c r="A124" s="1">
        <v>172</v>
      </c>
      <c r="B124" s="42" t="s">
        <v>27</v>
      </c>
      <c r="C124" s="14" t="s">
        <v>230</v>
      </c>
      <c r="D124" s="10" t="s">
        <v>215</v>
      </c>
      <c r="E124" s="3" t="s">
        <v>216</v>
      </c>
      <c r="F124" s="4">
        <v>22087</v>
      </c>
      <c r="G124" s="4"/>
      <c r="H124" s="4"/>
      <c r="I124" s="4"/>
      <c r="J124" s="4"/>
      <c r="K124" s="4"/>
      <c r="L124" s="4"/>
      <c r="M124" s="4"/>
      <c r="N124" s="4"/>
      <c r="O124" s="4">
        <v>8834.75</v>
      </c>
      <c r="P124" s="46">
        <v>7362.29</v>
      </c>
      <c r="Q124" s="46">
        <v>7362.29</v>
      </c>
      <c r="R124" s="4">
        <v>7362.29</v>
      </c>
      <c r="S124" s="4"/>
      <c r="T124" s="4"/>
      <c r="U124" s="4"/>
      <c r="V124" s="4"/>
      <c r="W124" s="4"/>
      <c r="X124" s="4"/>
      <c r="Y124" s="4"/>
      <c r="Z124" s="4"/>
      <c r="AA124" s="4"/>
      <c r="AB124" s="4">
        <v>8834.75</v>
      </c>
      <c r="AC124" s="4">
        <v>7362.29</v>
      </c>
      <c r="AD124" s="4">
        <f>7362.29*2</f>
        <v>14724.58</v>
      </c>
      <c r="AE124" s="4">
        <v>8165.38</v>
      </c>
      <c r="AF124" s="4">
        <v>17000</v>
      </c>
      <c r="AG124" s="4">
        <f t="shared" si="18"/>
        <v>30921.62</v>
      </c>
      <c r="AH124" s="4">
        <f t="shared" si="19"/>
        <v>30921.620000000003</v>
      </c>
      <c r="AI124" s="4">
        <f t="shared" si="20"/>
        <v>30921.620000000003</v>
      </c>
      <c r="AJ124" s="4">
        <f t="shared" si="21"/>
        <v>-3.637978807091713E-12</v>
      </c>
      <c r="AK124" s="4">
        <f t="shared" si="22"/>
        <v>0</v>
      </c>
      <c r="AL124" s="4">
        <f t="shared" si="23"/>
        <v>0</v>
      </c>
    </row>
    <row r="125" spans="1:38" s="19" customFormat="1">
      <c r="A125" s="1">
        <v>173</v>
      </c>
      <c r="B125" s="42" t="s">
        <v>27</v>
      </c>
      <c r="C125" s="14" t="s">
        <v>78</v>
      </c>
      <c r="D125" s="10" t="s">
        <v>185</v>
      </c>
      <c r="E125" s="3" t="s">
        <v>186</v>
      </c>
      <c r="F125" s="4">
        <v>2752</v>
      </c>
      <c r="G125" s="4"/>
      <c r="H125" s="4"/>
      <c r="I125" s="4"/>
      <c r="J125" s="4"/>
      <c r="K125" s="4"/>
      <c r="L125" s="4"/>
      <c r="M125" s="4"/>
      <c r="N125" s="4">
        <v>1376</v>
      </c>
      <c r="O125" s="4"/>
      <c r="P125" s="4"/>
      <c r="Q125" s="4">
        <v>1376</v>
      </c>
      <c r="R125" s="4"/>
      <c r="S125" s="4"/>
      <c r="T125" s="4"/>
      <c r="U125" s="4"/>
      <c r="V125" s="4"/>
      <c r="W125" s="4"/>
      <c r="X125" s="4"/>
      <c r="Y125" s="4"/>
      <c r="Z125" s="4">
        <v>1376</v>
      </c>
      <c r="AA125" s="4"/>
      <c r="AB125" s="4"/>
      <c r="AC125" s="4">
        <v>1376</v>
      </c>
      <c r="AD125" s="4"/>
      <c r="AE125" s="4"/>
      <c r="AF125" s="4"/>
      <c r="AG125" s="4">
        <f t="shared" si="18"/>
        <v>2752</v>
      </c>
      <c r="AH125" s="4">
        <f t="shared" si="19"/>
        <v>2752</v>
      </c>
      <c r="AI125" s="4">
        <f t="shared" si="20"/>
        <v>2752</v>
      </c>
      <c r="AJ125" s="4">
        <f t="shared" si="21"/>
        <v>0</v>
      </c>
      <c r="AK125" s="4">
        <f t="shared" si="22"/>
        <v>0</v>
      </c>
      <c r="AL125" s="4">
        <f t="shared" si="23"/>
        <v>0</v>
      </c>
    </row>
    <row r="126" spans="1:38" s="19" customFormat="1" ht="45">
      <c r="A126" s="1">
        <v>179</v>
      </c>
      <c r="B126" s="42" t="s">
        <v>27</v>
      </c>
      <c r="C126" s="14" t="s">
        <v>36</v>
      </c>
      <c r="D126" s="10" t="s">
        <v>37</v>
      </c>
      <c r="E126" s="3" t="s">
        <v>38</v>
      </c>
      <c r="F126" s="4">
        <v>100000</v>
      </c>
      <c r="G126" s="4"/>
      <c r="H126" s="4"/>
      <c r="I126" s="4"/>
      <c r="J126" s="4"/>
      <c r="K126" s="4"/>
      <c r="L126" s="4"/>
      <c r="M126" s="4"/>
      <c r="N126" s="4"/>
      <c r="O126" s="4"/>
      <c r="P126" s="4">
        <v>33436.44</v>
      </c>
      <c r="Q126" s="4">
        <v>24080.77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>
        <v>33436.44</v>
      </c>
      <c r="AC126" s="4">
        <v>24080.77</v>
      </c>
      <c r="AD126" s="4"/>
      <c r="AE126" s="4">
        <v>62482.79</v>
      </c>
      <c r="AF126" s="4">
        <v>20000</v>
      </c>
      <c r="AG126" s="4">
        <f t="shared" si="18"/>
        <v>57517.21</v>
      </c>
      <c r="AH126" s="4">
        <f t="shared" si="19"/>
        <v>57517.210000000006</v>
      </c>
      <c r="AI126" s="4">
        <f t="shared" si="20"/>
        <v>57517.210000000006</v>
      </c>
      <c r="AJ126" s="4">
        <f t="shared" si="21"/>
        <v>-7.2759576141834259E-12</v>
      </c>
      <c r="AK126" s="4">
        <f t="shared" si="22"/>
        <v>0</v>
      </c>
      <c r="AL126" s="4">
        <f t="shared" si="23"/>
        <v>0</v>
      </c>
    </row>
    <row r="127" spans="1:38" s="19" customFormat="1" ht="45">
      <c r="A127" s="1">
        <v>180</v>
      </c>
      <c r="B127" s="42" t="s">
        <v>26</v>
      </c>
      <c r="C127" s="14" t="s">
        <v>223</v>
      </c>
      <c r="D127" s="10" t="s">
        <v>160</v>
      </c>
      <c r="E127" s="3" t="s">
        <v>161</v>
      </c>
      <c r="F127" s="4">
        <v>4000</v>
      </c>
      <c r="G127" s="4"/>
      <c r="H127" s="4"/>
      <c r="I127" s="4"/>
      <c r="J127" s="4"/>
      <c r="K127" s="4"/>
      <c r="L127" s="4"/>
      <c r="M127" s="4"/>
      <c r="N127" s="4"/>
      <c r="O127" s="4">
        <v>4000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>
        <v>4000</v>
      </c>
      <c r="AB127" s="4"/>
      <c r="AC127" s="4"/>
      <c r="AD127" s="4"/>
      <c r="AE127" s="4"/>
      <c r="AF127" s="4"/>
      <c r="AG127" s="4">
        <f t="shared" si="18"/>
        <v>4000</v>
      </c>
      <c r="AH127" s="4">
        <f t="shared" si="19"/>
        <v>4000</v>
      </c>
      <c r="AI127" s="4">
        <f t="shared" si="20"/>
        <v>4000</v>
      </c>
      <c r="AJ127" s="4">
        <f t="shared" si="21"/>
        <v>0</v>
      </c>
      <c r="AK127" s="4">
        <f t="shared" si="22"/>
        <v>0</v>
      </c>
      <c r="AL127" s="4">
        <f t="shared" si="23"/>
        <v>0</v>
      </c>
    </row>
    <row r="128" spans="1:38" s="19" customFormat="1" ht="90">
      <c r="A128" s="1">
        <v>181</v>
      </c>
      <c r="B128" s="42" t="s">
        <v>26</v>
      </c>
      <c r="C128" s="14" t="s">
        <v>252</v>
      </c>
      <c r="D128" s="10" t="s">
        <v>224</v>
      </c>
      <c r="E128" s="3" t="s">
        <v>225</v>
      </c>
      <c r="F128" s="4">
        <v>2379</v>
      </c>
      <c r="G128" s="4"/>
      <c r="H128" s="4"/>
      <c r="I128" s="4"/>
      <c r="J128" s="4"/>
      <c r="K128" s="4"/>
      <c r="L128" s="4"/>
      <c r="M128" s="4"/>
      <c r="N128" s="4"/>
      <c r="O128" s="4">
        <v>2379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>
        <v>2379</v>
      </c>
      <c r="AB128" s="4"/>
      <c r="AC128" s="4"/>
      <c r="AD128" s="4"/>
      <c r="AE128" s="4"/>
      <c r="AF128" s="4"/>
      <c r="AG128" s="4">
        <f t="shared" si="18"/>
        <v>2379</v>
      </c>
      <c r="AH128" s="4">
        <f t="shared" si="19"/>
        <v>2379</v>
      </c>
      <c r="AI128" s="4">
        <f t="shared" si="20"/>
        <v>2379</v>
      </c>
      <c r="AJ128" s="4">
        <f t="shared" si="21"/>
        <v>0</v>
      </c>
      <c r="AK128" s="4">
        <f t="shared" si="22"/>
        <v>0</v>
      </c>
      <c r="AL128" s="4">
        <f t="shared" si="23"/>
        <v>0</v>
      </c>
    </row>
    <row r="129" spans="1:38" s="19" customFormat="1" ht="225">
      <c r="A129" s="1">
        <v>182</v>
      </c>
      <c r="B129" s="42" t="s">
        <v>27</v>
      </c>
      <c r="C129" s="14" t="s">
        <v>218</v>
      </c>
      <c r="D129" s="10" t="s">
        <v>217</v>
      </c>
      <c r="E129" s="3" t="s">
        <v>219</v>
      </c>
      <c r="F129" s="4">
        <v>79200</v>
      </c>
      <c r="G129" s="4"/>
      <c r="H129" s="4"/>
      <c r="I129" s="4"/>
      <c r="J129" s="4"/>
      <c r="K129" s="4"/>
      <c r="L129" s="4"/>
      <c r="M129" s="4"/>
      <c r="N129" s="4"/>
      <c r="O129" s="4"/>
      <c r="P129" s="4">
        <v>79200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>
        <v>79200</v>
      </c>
      <c r="AC129" s="4"/>
      <c r="AD129" s="4"/>
      <c r="AE129" s="4"/>
      <c r="AF129" s="4"/>
      <c r="AG129" s="4">
        <f t="shared" si="18"/>
        <v>79200</v>
      </c>
      <c r="AH129" s="4">
        <f t="shared" si="19"/>
        <v>79200</v>
      </c>
      <c r="AI129" s="4">
        <f t="shared" si="20"/>
        <v>79200</v>
      </c>
      <c r="AJ129" s="4">
        <f t="shared" si="21"/>
        <v>0</v>
      </c>
      <c r="AK129" s="4">
        <f t="shared" si="22"/>
        <v>0</v>
      </c>
      <c r="AL129" s="4">
        <f t="shared" si="23"/>
        <v>0</v>
      </c>
    </row>
    <row r="130" spans="1:38" s="19" customFormat="1" ht="120">
      <c r="A130" s="1">
        <v>192</v>
      </c>
      <c r="B130" s="42" t="s">
        <v>87</v>
      </c>
      <c r="C130" s="14" t="s">
        <v>251</v>
      </c>
      <c r="D130" s="10" t="s">
        <v>191</v>
      </c>
      <c r="E130" s="3" t="s">
        <v>192</v>
      </c>
      <c r="F130" s="4">
        <v>725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>
        <v>725</v>
      </c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>
        <v>725</v>
      </c>
      <c r="AE130" s="4"/>
      <c r="AF130" s="4"/>
      <c r="AG130" s="4">
        <f t="shared" si="18"/>
        <v>725</v>
      </c>
      <c r="AH130" s="4">
        <f t="shared" si="19"/>
        <v>725</v>
      </c>
      <c r="AI130" s="4">
        <f t="shared" si="20"/>
        <v>725</v>
      </c>
      <c r="AJ130" s="4">
        <f t="shared" si="21"/>
        <v>0</v>
      </c>
      <c r="AK130" s="4">
        <f t="shared" si="22"/>
        <v>0</v>
      </c>
      <c r="AL130" s="4">
        <f t="shared" si="23"/>
        <v>0</v>
      </c>
    </row>
    <row r="131" spans="1:38" s="19" customFormat="1">
      <c r="A131" s="1">
        <v>197</v>
      </c>
      <c r="B131" s="42" t="s">
        <v>26</v>
      </c>
      <c r="C131" s="14" t="s">
        <v>233</v>
      </c>
      <c r="D131" s="10" t="s">
        <v>234</v>
      </c>
      <c r="E131" s="3" t="s">
        <v>235</v>
      </c>
      <c r="F131" s="4">
        <v>1393.33</v>
      </c>
      <c r="G131" s="4"/>
      <c r="H131" s="4"/>
      <c r="I131" s="4"/>
      <c r="J131" s="4"/>
      <c r="K131" s="4"/>
      <c r="L131" s="4"/>
      <c r="M131" s="4"/>
      <c r="N131" s="4"/>
      <c r="O131" s="4">
        <v>1393.33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>
        <v>1393.33</v>
      </c>
      <c r="AB131" s="4"/>
      <c r="AC131" s="4"/>
      <c r="AD131" s="4"/>
      <c r="AE131" s="4"/>
      <c r="AF131" s="4"/>
      <c r="AG131" s="4">
        <f t="shared" si="18"/>
        <v>1393.33</v>
      </c>
      <c r="AH131" s="4">
        <f t="shared" si="19"/>
        <v>1393.33</v>
      </c>
      <c r="AI131" s="4">
        <f t="shared" si="20"/>
        <v>1393.33</v>
      </c>
      <c r="AJ131" s="4">
        <f t="shared" si="21"/>
        <v>0</v>
      </c>
      <c r="AK131" s="4">
        <f t="shared" si="22"/>
        <v>0</v>
      </c>
      <c r="AL131" s="4">
        <f t="shared" si="23"/>
        <v>0</v>
      </c>
    </row>
    <row r="132" spans="1:38" s="19" customFormat="1">
      <c r="A132" s="1">
        <v>198</v>
      </c>
      <c r="B132" s="42" t="s">
        <v>26</v>
      </c>
      <c r="C132" s="14" t="s">
        <v>236</v>
      </c>
      <c r="D132" s="10" t="s">
        <v>234</v>
      </c>
      <c r="E132" s="3" t="s">
        <v>235</v>
      </c>
      <c r="F132" s="4">
        <v>261.25</v>
      </c>
      <c r="G132" s="4"/>
      <c r="H132" s="4"/>
      <c r="I132" s="4"/>
      <c r="J132" s="4"/>
      <c r="K132" s="4"/>
      <c r="L132" s="4"/>
      <c r="M132" s="4"/>
      <c r="N132" s="4"/>
      <c r="O132" s="4">
        <v>261.25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>
        <v>261.25</v>
      </c>
      <c r="AC132" s="4"/>
      <c r="AD132" s="4"/>
      <c r="AE132" s="4"/>
      <c r="AF132" s="4"/>
      <c r="AG132" s="4">
        <f t="shared" si="18"/>
        <v>261.25</v>
      </c>
      <c r="AH132" s="4">
        <f t="shared" si="19"/>
        <v>261.25</v>
      </c>
      <c r="AI132" s="4">
        <f t="shared" si="20"/>
        <v>261.25</v>
      </c>
      <c r="AJ132" s="4">
        <f t="shared" si="21"/>
        <v>0</v>
      </c>
      <c r="AK132" s="4">
        <f t="shared" si="22"/>
        <v>0</v>
      </c>
      <c r="AL132" s="4">
        <f t="shared" si="23"/>
        <v>0</v>
      </c>
    </row>
    <row r="133" spans="1:38" s="19" customFormat="1">
      <c r="A133" s="42">
        <v>199</v>
      </c>
      <c r="B133" s="42" t="s">
        <v>26</v>
      </c>
      <c r="C133" s="14" t="s">
        <v>237</v>
      </c>
      <c r="D133" s="10" t="s">
        <v>126</v>
      </c>
      <c r="E133" s="3" t="s">
        <v>127</v>
      </c>
      <c r="F133" s="4">
        <v>5000</v>
      </c>
      <c r="G133" s="4"/>
      <c r="H133" s="4"/>
      <c r="I133" s="4"/>
      <c r="J133" s="4"/>
      <c r="K133" s="4"/>
      <c r="L133" s="4"/>
      <c r="M133" s="4"/>
      <c r="N133" s="4"/>
      <c r="O133" s="4"/>
      <c r="P133" s="4">
        <v>5000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>
        <v>5000</v>
      </c>
      <c r="AC133" s="4"/>
      <c r="AD133" s="4"/>
      <c r="AE133" s="4"/>
      <c r="AF133" s="4"/>
      <c r="AG133" s="4">
        <f t="shared" si="18"/>
        <v>5000</v>
      </c>
      <c r="AH133" s="4">
        <f t="shared" si="19"/>
        <v>5000</v>
      </c>
      <c r="AI133" s="4">
        <f t="shared" si="20"/>
        <v>5000</v>
      </c>
      <c r="AJ133" s="4">
        <f t="shared" si="21"/>
        <v>0</v>
      </c>
      <c r="AK133" s="4">
        <f t="shared" si="22"/>
        <v>0</v>
      </c>
      <c r="AL133" s="4">
        <f t="shared" si="23"/>
        <v>0</v>
      </c>
    </row>
    <row r="134" spans="1:38" s="19" customFormat="1" ht="45">
      <c r="A134" s="30">
        <v>201</v>
      </c>
      <c r="B134" s="42" t="s">
        <v>27</v>
      </c>
      <c r="C134" s="14" t="s">
        <v>250</v>
      </c>
      <c r="D134" s="10" t="s">
        <v>232</v>
      </c>
      <c r="E134" s="3" t="s">
        <v>81</v>
      </c>
      <c r="F134" s="4">
        <v>3467.07</v>
      </c>
      <c r="G134" s="4"/>
      <c r="H134" s="4"/>
      <c r="I134" s="4"/>
      <c r="J134" s="4"/>
      <c r="K134" s="4"/>
      <c r="L134" s="4"/>
      <c r="M134" s="4"/>
      <c r="N134" s="4"/>
      <c r="O134" s="4"/>
      <c r="P134" s="4">
        <v>1155.69</v>
      </c>
      <c r="Q134" s="4">
        <v>1155.69</v>
      </c>
      <c r="R134" s="4">
        <v>1155.69</v>
      </c>
      <c r="S134" s="4"/>
      <c r="T134" s="4"/>
      <c r="U134" s="4"/>
      <c r="V134" s="4"/>
      <c r="W134" s="4"/>
      <c r="X134" s="4"/>
      <c r="Y134" s="4"/>
      <c r="Z134" s="4"/>
      <c r="AA134" s="4"/>
      <c r="AB134" s="4">
        <v>1155.69</v>
      </c>
      <c r="AC134" s="4">
        <v>1155.69</v>
      </c>
      <c r="AD134" s="4">
        <v>1155.69</v>
      </c>
      <c r="AE134" s="4"/>
      <c r="AF134" s="4"/>
      <c r="AG134" s="4">
        <f t="shared" si="18"/>
        <v>3467.07</v>
      </c>
      <c r="AH134" s="4">
        <f t="shared" si="19"/>
        <v>3467.07</v>
      </c>
      <c r="AI134" s="4">
        <f t="shared" si="20"/>
        <v>3467.07</v>
      </c>
      <c r="AJ134" s="4">
        <f t="shared" si="21"/>
        <v>0</v>
      </c>
      <c r="AK134" s="4">
        <f t="shared" si="22"/>
        <v>0</v>
      </c>
      <c r="AL134" s="4">
        <f t="shared" si="23"/>
        <v>0</v>
      </c>
    </row>
    <row r="135" spans="1:38" s="19" customFormat="1">
      <c r="A135" s="1">
        <v>202</v>
      </c>
      <c r="B135" s="42" t="s">
        <v>26</v>
      </c>
      <c r="C135" s="14" t="s">
        <v>238</v>
      </c>
      <c r="D135" s="10" t="s">
        <v>201</v>
      </c>
      <c r="E135" s="3" t="s">
        <v>202</v>
      </c>
      <c r="F135" s="4">
        <v>5000</v>
      </c>
      <c r="G135" s="4"/>
      <c r="H135" s="4"/>
      <c r="I135" s="4"/>
      <c r="J135" s="4"/>
      <c r="K135" s="4"/>
      <c r="L135" s="4"/>
      <c r="M135" s="4"/>
      <c r="N135" s="4"/>
      <c r="O135" s="4"/>
      <c r="P135" s="4">
        <v>5000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>
        <v>5000</v>
      </c>
      <c r="AC135" s="4"/>
      <c r="AD135" s="4"/>
      <c r="AE135" s="4"/>
      <c r="AF135" s="4"/>
      <c r="AG135" s="4">
        <f t="shared" si="18"/>
        <v>5000</v>
      </c>
      <c r="AH135" s="4">
        <f t="shared" si="19"/>
        <v>5000</v>
      </c>
      <c r="AI135" s="4">
        <f t="shared" si="20"/>
        <v>5000</v>
      </c>
      <c r="AJ135" s="4">
        <f t="shared" si="21"/>
        <v>0</v>
      </c>
      <c r="AK135" s="4">
        <f t="shared" si="22"/>
        <v>0</v>
      </c>
      <c r="AL135" s="4">
        <f t="shared" si="23"/>
        <v>0</v>
      </c>
    </row>
    <row r="136" spans="1:38" s="19" customFormat="1">
      <c r="A136" s="1">
        <v>203</v>
      </c>
      <c r="B136" s="42" t="s">
        <v>26</v>
      </c>
      <c r="C136" s="10" t="s">
        <v>249</v>
      </c>
      <c r="D136" s="10" t="s">
        <v>140</v>
      </c>
      <c r="E136" s="3" t="s">
        <v>141</v>
      </c>
      <c r="F136" s="4">
        <v>2500</v>
      </c>
      <c r="G136" s="4"/>
      <c r="H136" s="4"/>
      <c r="I136" s="4"/>
      <c r="J136" s="4"/>
      <c r="K136" s="4"/>
      <c r="L136" s="4"/>
      <c r="M136" s="4"/>
      <c r="N136" s="4"/>
      <c r="O136" s="4"/>
      <c r="P136" s="4">
        <v>2500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>
        <v>2500</v>
      </c>
      <c r="AC136" s="4"/>
      <c r="AD136" s="4"/>
      <c r="AE136" s="4"/>
      <c r="AF136" s="4"/>
      <c r="AG136" s="4">
        <f t="shared" ref="AG136:AG149" si="24">F136-AE136+AF136</f>
        <v>2500</v>
      </c>
      <c r="AH136" s="4">
        <f t="shared" ref="AH136:AH149" si="25">SUM(G136:R136)</f>
        <v>2500</v>
      </c>
      <c r="AI136" s="4">
        <f t="shared" ref="AI136:AI149" si="26">SUM(S136:AD136)</f>
        <v>2500</v>
      </c>
      <c r="AJ136" s="4">
        <f t="shared" ref="AJ136:AJ149" si="27">(AH136-AI136)+(AG136-AH136)</f>
        <v>0</v>
      </c>
      <c r="AK136" s="4">
        <f t="shared" ref="AK136:AK149" si="28">AH136-AI136</f>
        <v>0</v>
      </c>
      <c r="AL136" s="4">
        <f t="shared" ref="AL136:AL149" si="29">AG136-AH136</f>
        <v>0</v>
      </c>
    </row>
    <row r="137" spans="1:38" s="19" customFormat="1">
      <c r="A137" s="1">
        <v>204</v>
      </c>
      <c r="B137" s="42" t="s">
        <v>87</v>
      </c>
      <c r="C137" s="10" t="s">
        <v>249</v>
      </c>
      <c r="D137" s="10" t="s">
        <v>88</v>
      </c>
      <c r="E137" s="3" t="s">
        <v>82</v>
      </c>
      <c r="F137" s="4">
        <v>510.88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>
        <v>510.88</v>
      </c>
      <c r="AF137" s="4"/>
      <c r="AG137" s="4">
        <f t="shared" si="24"/>
        <v>0</v>
      </c>
      <c r="AH137" s="4">
        <f t="shared" si="25"/>
        <v>0</v>
      </c>
      <c r="AI137" s="4">
        <f t="shared" si="26"/>
        <v>0</v>
      </c>
      <c r="AJ137" s="4">
        <f t="shared" si="27"/>
        <v>0</v>
      </c>
      <c r="AK137" s="4">
        <f t="shared" si="28"/>
        <v>0</v>
      </c>
      <c r="AL137" s="4">
        <f t="shared" si="29"/>
        <v>0</v>
      </c>
    </row>
    <row r="138" spans="1:38" s="19" customFormat="1">
      <c r="A138" s="1">
        <v>205</v>
      </c>
      <c r="B138" s="42" t="s">
        <v>26</v>
      </c>
      <c r="C138" s="14" t="s">
        <v>249</v>
      </c>
      <c r="D138" s="10" t="s">
        <v>80</v>
      </c>
      <c r="E138" s="3" t="s">
        <v>81</v>
      </c>
      <c r="F138" s="4">
        <v>1155.69</v>
      </c>
      <c r="G138" s="4"/>
      <c r="H138" s="4"/>
      <c r="I138" s="4"/>
      <c r="J138" s="4"/>
      <c r="K138" s="4"/>
      <c r="L138" s="4"/>
      <c r="M138" s="4"/>
      <c r="N138" s="4"/>
      <c r="O138" s="4"/>
      <c r="P138" s="4">
        <v>1155.69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>
        <v>1155.69</v>
      </c>
      <c r="AC138" s="4"/>
      <c r="AD138" s="4"/>
      <c r="AE138" s="4"/>
      <c r="AF138" s="4"/>
      <c r="AG138" s="4">
        <f t="shared" si="24"/>
        <v>1155.69</v>
      </c>
      <c r="AH138" s="4">
        <f t="shared" si="25"/>
        <v>1155.69</v>
      </c>
      <c r="AI138" s="4">
        <f t="shared" si="26"/>
        <v>1155.69</v>
      </c>
      <c r="AJ138" s="4">
        <f t="shared" si="27"/>
        <v>0</v>
      </c>
      <c r="AK138" s="4">
        <f t="shared" si="28"/>
        <v>0</v>
      </c>
      <c r="AL138" s="4">
        <f t="shared" si="29"/>
        <v>0</v>
      </c>
    </row>
    <row r="139" spans="1:38" s="19" customFormat="1">
      <c r="A139" s="1">
        <v>206</v>
      </c>
      <c r="B139" s="42" t="s">
        <v>26</v>
      </c>
      <c r="C139" s="14" t="s">
        <v>80</v>
      </c>
      <c r="D139" s="10" t="s">
        <v>80</v>
      </c>
      <c r="E139" s="3" t="s">
        <v>81</v>
      </c>
      <c r="F139" s="4">
        <v>784</v>
      </c>
      <c r="G139" s="4"/>
      <c r="H139" s="4"/>
      <c r="I139" s="4"/>
      <c r="J139" s="4"/>
      <c r="K139" s="4"/>
      <c r="L139" s="4"/>
      <c r="M139" s="4"/>
      <c r="N139" s="4"/>
      <c r="O139" s="4"/>
      <c r="P139" s="4">
        <v>784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>
        <v>784</v>
      </c>
      <c r="AC139" s="4"/>
      <c r="AD139" s="4"/>
      <c r="AE139" s="4"/>
      <c r="AF139" s="4"/>
      <c r="AG139" s="4">
        <f t="shared" si="24"/>
        <v>784</v>
      </c>
      <c r="AH139" s="4">
        <f t="shared" si="25"/>
        <v>784</v>
      </c>
      <c r="AI139" s="4">
        <f t="shared" si="26"/>
        <v>784</v>
      </c>
      <c r="AJ139" s="4">
        <f t="shared" si="27"/>
        <v>0</v>
      </c>
      <c r="AK139" s="4">
        <f t="shared" si="28"/>
        <v>0</v>
      </c>
      <c r="AL139" s="4">
        <f t="shared" si="29"/>
        <v>0</v>
      </c>
    </row>
    <row r="140" spans="1:38" s="19" customFormat="1">
      <c r="A140" s="1">
        <v>207</v>
      </c>
      <c r="B140" s="42" t="s">
        <v>26</v>
      </c>
      <c r="C140" s="14" t="s">
        <v>220</v>
      </c>
      <c r="D140" s="10" t="s">
        <v>221</v>
      </c>
      <c r="E140" s="3" t="s">
        <v>222</v>
      </c>
      <c r="F140" s="4">
        <v>60</v>
      </c>
      <c r="G140" s="4"/>
      <c r="H140" s="4"/>
      <c r="I140" s="4"/>
      <c r="J140" s="4"/>
      <c r="K140" s="4"/>
      <c r="L140" s="4"/>
      <c r="M140" s="4"/>
      <c r="N140" s="4"/>
      <c r="O140" s="4"/>
      <c r="P140" s="4">
        <v>60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>
        <v>60</v>
      </c>
      <c r="AC140" s="4"/>
      <c r="AD140" s="4"/>
      <c r="AE140" s="4"/>
      <c r="AF140" s="4"/>
      <c r="AG140" s="4">
        <f t="shared" si="24"/>
        <v>60</v>
      </c>
      <c r="AH140" s="4">
        <f t="shared" si="25"/>
        <v>60</v>
      </c>
      <c r="AI140" s="4">
        <f t="shared" si="26"/>
        <v>60</v>
      </c>
      <c r="AJ140" s="4">
        <f t="shared" si="27"/>
        <v>0</v>
      </c>
      <c r="AK140" s="4">
        <f t="shared" si="28"/>
        <v>0</v>
      </c>
      <c r="AL140" s="4">
        <f t="shared" si="29"/>
        <v>0</v>
      </c>
    </row>
    <row r="141" spans="1:38" s="19" customFormat="1" ht="45">
      <c r="A141" s="1">
        <v>209</v>
      </c>
      <c r="B141" s="42" t="s">
        <v>26</v>
      </c>
      <c r="C141" s="14" t="s">
        <v>36</v>
      </c>
      <c r="D141" s="10" t="s">
        <v>37</v>
      </c>
      <c r="E141" s="3" t="s">
        <v>38</v>
      </c>
      <c r="F141" s="4">
        <v>2112.31</v>
      </c>
      <c r="G141" s="4"/>
      <c r="H141" s="4"/>
      <c r="I141" s="4"/>
      <c r="J141" s="4"/>
      <c r="K141" s="4"/>
      <c r="L141" s="4"/>
      <c r="M141" s="4"/>
      <c r="N141" s="4"/>
      <c r="O141" s="4"/>
      <c r="P141" s="4">
        <v>2112.31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>
        <v>2112.31</v>
      </c>
      <c r="AC141" s="4"/>
      <c r="AD141" s="4"/>
      <c r="AE141" s="4"/>
      <c r="AF141" s="4"/>
      <c r="AG141" s="4">
        <f t="shared" si="24"/>
        <v>2112.31</v>
      </c>
      <c r="AH141" s="4">
        <f t="shared" si="25"/>
        <v>2112.31</v>
      </c>
      <c r="AI141" s="4">
        <f t="shared" si="26"/>
        <v>2112.31</v>
      </c>
      <c r="AJ141" s="4">
        <f t="shared" si="27"/>
        <v>0</v>
      </c>
      <c r="AK141" s="4">
        <f t="shared" si="28"/>
        <v>0</v>
      </c>
      <c r="AL141" s="4">
        <f t="shared" si="29"/>
        <v>0</v>
      </c>
    </row>
    <row r="142" spans="1:38" s="19" customFormat="1">
      <c r="A142" s="1">
        <v>213</v>
      </c>
      <c r="B142" s="42" t="s">
        <v>26</v>
      </c>
      <c r="C142" s="14" t="s">
        <v>162</v>
      </c>
      <c r="D142" s="10" t="s">
        <v>239</v>
      </c>
      <c r="E142" s="3" t="s">
        <v>240</v>
      </c>
      <c r="F142" s="7">
        <v>518.75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7">
        <v>518.75</v>
      </c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7">
        <v>518.75</v>
      </c>
      <c r="AC142" s="27"/>
      <c r="AD142" s="27"/>
      <c r="AE142" s="4"/>
      <c r="AF142" s="4"/>
      <c r="AG142" s="4">
        <f t="shared" si="24"/>
        <v>518.75</v>
      </c>
      <c r="AH142" s="4">
        <f t="shared" si="25"/>
        <v>518.75</v>
      </c>
      <c r="AI142" s="4">
        <f t="shared" si="26"/>
        <v>518.75</v>
      </c>
      <c r="AJ142" s="4">
        <f t="shared" si="27"/>
        <v>0</v>
      </c>
      <c r="AK142" s="4">
        <f t="shared" si="28"/>
        <v>0</v>
      </c>
      <c r="AL142" s="4">
        <f t="shared" si="29"/>
        <v>0</v>
      </c>
    </row>
    <row r="143" spans="1:38" s="19" customFormat="1" ht="45">
      <c r="A143" s="1">
        <v>217</v>
      </c>
      <c r="B143" s="42" t="s">
        <v>26</v>
      </c>
      <c r="C143" s="14" t="s">
        <v>248</v>
      </c>
      <c r="D143" s="10" t="s">
        <v>241</v>
      </c>
      <c r="E143" s="3" t="s">
        <v>242</v>
      </c>
      <c r="F143" s="7">
        <v>242.56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7">
        <v>242.56</v>
      </c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>
        <v>242.56</v>
      </c>
      <c r="AD143" s="27"/>
      <c r="AE143" s="4"/>
      <c r="AF143" s="4"/>
      <c r="AG143" s="4">
        <f t="shared" si="24"/>
        <v>242.56</v>
      </c>
      <c r="AH143" s="4">
        <f t="shared" si="25"/>
        <v>242.56</v>
      </c>
      <c r="AI143" s="4">
        <f t="shared" si="26"/>
        <v>242.56</v>
      </c>
      <c r="AJ143" s="4">
        <f t="shared" si="27"/>
        <v>0</v>
      </c>
      <c r="AK143" s="4">
        <f t="shared" si="28"/>
        <v>0</v>
      </c>
      <c r="AL143" s="4">
        <f t="shared" si="29"/>
        <v>0</v>
      </c>
    </row>
    <row r="144" spans="1:38" s="19" customFormat="1" ht="45">
      <c r="A144" s="1">
        <v>218</v>
      </c>
      <c r="B144" s="42" t="s">
        <v>26</v>
      </c>
      <c r="C144" s="14" t="s">
        <v>243</v>
      </c>
      <c r="D144" s="10" t="s">
        <v>244</v>
      </c>
      <c r="E144" s="3" t="s">
        <v>245</v>
      </c>
      <c r="F144" s="7">
        <v>2970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5">
        <v>2970</v>
      </c>
      <c r="AF144" s="4"/>
      <c r="AG144" s="4">
        <f t="shared" si="24"/>
        <v>0</v>
      </c>
      <c r="AH144" s="4">
        <f t="shared" si="25"/>
        <v>0</v>
      </c>
      <c r="AI144" s="4">
        <f t="shared" si="26"/>
        <v>0</v>
      </c>
      <c r="AJ144" s="4">
        <f t="shared" si="27"/>
        <v>0</v>
      </c>
      <c r="AK144" s="4">
        <f t="shared" si="28"/>
        <v>0</v>
      </c>
      <c r="AL144" s="4">
        <f t="shared" si="29"/>
        <v>0</v>
      </c>
    </row>
    <row r="145" spans="1:38" s="19" customFormat="1">
      <c r="A145" s="31">
        <v>219</v>
      </c>
      <c r="B145" s="31" t="s">
        <v>26</v>
      </c>
      <c r="C145" s="32" t="s">
        <v>162</v>
      </c>
      <c r="D145" s="33" t="s">
        <v>246</v>
      </c>
      <c r="E145" s="34" t="s">
        <v>247</v>
      </c>
      <c r="F145" s="37">
        <v>345.83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7">
        <v>345.83</v>
      </c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7">
        <v>345.83</v>
      </c>
      <c r="AD145" s="36"/>
      <c r="AE145" s="35"/>
      <c r="AF145" s="35"/>
      <c r="AG145" s="35">
        <f t="shared" si="24"/>
        <v>345.83</v>
      </c>
      <c r="AH145" s="35">
        <f t="shared" si="25"/>
        <v>345.83</v>
      </c>
      <c r="AI145" s="35">
        <f t="shared" si="26"/>
        <v>345.83</v>
      </c>
      <c r="AJ145" s="35">
        <f t="shared" si="27"/>
        <v>0</v>
      </c>
      <c r="AK145" s="35">
        <f t="shared" si="28"/>
        <v>0</v>
      </c>
      <c r="AL145" s="35">
        <f t="shared" si="29"/>
        <v>0</v>
      </c>
    </row>
    <row r="146" spans="1:38" s="38" customFormat="1" ht="90">
      <c r="A146" s="1">
        <v>221</v>
      </c>
      <c r="B146" s="42" t="s">
        <v>27</v>
      </c>
      <c r="C146" s="14" t="s">
        <v>287</v>
      </c>
      <c r="D146" s="10" t="s">
        <v>70</v>
      </c>
      <c r="E146" s="3" t="s">
        <v>71</v>
      </c>
      <c r="F146" s="7">
        <v>10000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5">
        <v>3614.24</v>
      </c>
      <c r="R146" s="7">
        <v>2477.89</v>
      </c>
      <c r="S146" s="27"/>
      <c r="T146" s="27"/>
      <c r="U146" s="27"/>
      <c r="V146" s="27"/>
      <c r="W146" s="27"/>
      <c r="X146" s="27"/>
      <c r="Y146" s="27"/>
      <c r="Z146" s="27"/>
      <c r="AA146" s="27"/>
      <c r="AB146" s="25"/>
      <c r="AC146" s="25">
        <v>3614.24</v>
      </c>
      <c r="AD146" s="25">
        <v>2477.89</v>
      </c>
      <c r="AE146" s="4">
        <v>6907.87</v>
      </c>
      <c r="AF146" s="4">
        <v>3000</v>
      </c>
      <c r="AG146" s="4">
        <f t="shared" si="24"/>
        <v>6092.13</v>
      </c>
      <c r="AH146" s="4">
        <f t="shared" si="25"/>
        <v>6092.1299999999992</v>
      </c>
      <c r="AI146" s="4">
        <f t="shared" si="26"/>
        <v>6092.1299999999992</v>
      </c>
      <c r="AJ146" s="4">
        <f t="shared" si="27"/>
        <v>9.0949470177292824E-13</v>
      </c>
      <c r="AK146" s="4">
        <f t="shared" si="28"/>
        <v>0</v>
      </c>
      <c r="AL146" s="4">
        <f t="shared" si="29"/>
        <v>0</v>
      </c>
    </row>
    <row r="147" spans="1:38">
      <c r="A147" s="42">
        <v>235</v>
      </c>
      <c r="B147" s="43" t="s">
        <v>27</v>
      </c>
      <c r="C147" s="14" t="s">
        <v>253</v>
      </c>
      <c r="D147" s="10" t="s">
        <v>254</v>
      </c>
      <c r="E147" s="45" t="s">
        <v>255</v>
      </c>
      <c r="F147" s="41">
        <v>5000</v>
      </c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">
        <v>5000</v>
      </c>
      <c r="AF147" s="4"/>
      <c r="AG147" s="4">
        <f t="shared" si="24"/>
        <v>0</v>
      </c>
      <c r="AH147" s="4">
        <f t="shared" si="25"/>
        <v>0</v>
      </c>
      <c r="AI147" s="4">
        <f t="shared" si="26"/>
        <v>0</v>
      </c>
      <c r="AJ147" s="4">
        <f t="shared" si="27"/>
        <v>0</v>
      </c>
      <c r="AK147" s="4">
        <f t="shared" si="28"/>
        <v>0</v>
      </c>
      <c r="AL147" s="4">
        <f t="shared" si="29"/>
        <v>0</v>
      </c>
    </row>
    <row r="148" spans="1:38">
      <c r="A148" s="42">
        <v>236</v>
      </c>
      <c r="B148" s="43" t="s">
        <v>27</v>
      </c>
      <c r="C148" s="14" t="s">
        <v>253</v>
      </c>
      <c r="D148" s="10" t="s">
        <v>256</v>
      </c>
      <c r="E148" s="45" t="s">
        <v>257</v>
      </c>
      <c r="F148" s="41">
        <v>5000</v>
      </c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">
        <v>5000</v>
      </c>
      <c r="AF148" s="4"/>
      <c r="AG148" s="4">
        <f t="shared" si="24"/>
        <v>0</v>
      </c>
      <c r="AH148" s="4">
        <f t="shared" si="25"/>
        <v>0</v>
      </c>
      <c r="AI148" s="4">
        <f t="shared" si="26"/>
        <v>0</v>
      </c>
      <c r="AJ148" s="4">
        <f t="shared" si="27"/>
        <v>0</v>
      </c>
      <c r="AK148" s="4">
        <f t="shared" si="28"/>
        <v>0</v>
      </c>
      <c r="AL148" s="4">
        <f t="shared" si="29"/>
        <v>0</v>
      </c>
    </row>
    <row r="149" spans="1:38">
      <c r="A149" s="43">
        <v>237</v>
      </c>
      <c r="B149" s="43" t="s">
        <v>27</v>
      </c>
      <c r="C149" s="14" t="s">
        <v>253</v>
      </c>
      <c r="D149" s="10" t="s">
        <v>258</v>
      </c>
      <c r="E149" s="45" t="s">
        <v>119</v>
      </c>
      <c r="F149" s="41">
        <v>5000</v>
      </c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">
        <v>5000</v>
      </c>
      <c r="AF149" s="4"/>
      <c r="AG149" s="4">
        <f t="shared" si="24"/>
        <v>0</v>
      </c>
      <c r="AH149" s="4">
        <f t="shared" si="25"/>
        <v>0</v>
      </c>
      <c r="AI149" s="4">
        <f t="shared" si="26"/>
        <v>0</v>
      </c>
      <c r="AJ149" s="4">
        <f t="shared" si="27"/>
        <v>0</v>
      </c>
      <c r="AK149" s="4">
        <f t="shared" si="28"/>
        <v>0</v>
      </c>
      <c r="AL149" s="4">
        <f t="shared" si="29"/>
        <v>0</v>
      </c>
    </row>
    <row r="150" spans="1:38">
      <c r="A150" s="43">
        <v>238</v>
      </c>
      <c r="B150" s="43" t="s">
        <v>27</v>
      </c>
      <c r="C150" s="14" t="s">
        <v>259</v>
      </c>
      <c r="D150" s="10" t="s">
        <v>260</v>
      </c>
      <c r="E150" s="45" t="s">
        <v>261</v>
      </c>
      <c r="F150" s="41">
        <v>2460</v>
      </c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1">
        <v>2460</v>
      </c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>
        <v>2460</v>
      </c>
      <c r="AE150" s="4"/>
      <c r="AF150" s="4"/>
      <c r="AG150" s="4">
        <f t="shared" ref="AG150:AG163" si="30">F150-AE150+AF150</f>
        <v>2460</v>
      </c>
      <c r="AH150" s="4">
        <f t="shared" ref="AH150:AH163" si="31">SUM(G150:R150)</f>
        <v>2460</v>
      </c>
      <c r="AI150" s="4">
        <f t="shared" ref="AI150:AI163" si="32">SUM(S150:AD150)</f>
        <v>2460</v>
      </c>
      <c r="AJ150" s="4">
        <f t="shared" ref="AJ150:AJ163" si="33">(AH150-AI150)+(AG150-AH150)</f>
        <v>0</v>
      </c>
      <c r="AK150" s="4">
        <f t="shared" ref="AK150:AK163" si="34">AH150-AI150</f>
        <v>0</v>
      </c>
      <c r="AL150" s="4">
        <f t="shared" ref="AL150:AL163" si="35">AG150-AH150</f>
        <v>0</v>
      </c>
    </row>
    <row r="151" spans="1:38">
      <c r="A151" s="42">
        <v>241</v>
      </c>
      <c r="B151" s="31" t="s">
        <v>26</v>
      </c>
      <c r="C151" s="14" t="s">
        <v>236</v>
      </c>
      <c r="D151" s="10" t="s">
        <v>262</v>
      </c>
      <c r="E151" s="45" t="s">
        <v>263</v>
      </c>
      <c r="F151" s="41">
        <v>911.55</v>
      </c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>
        <v>911.55</v>
      </c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>
        <v>911.55</v>
      </c>
      <c r="AE151" s="35"/>
      <c r="AF151" s="35"/>
      <c r="AG151" s="35">
        <f t="shared" si="30"/>
        <v>911.55</v>
      </c>
      <c r="AH151" s="35">
        <f t="shared" si="31"/>
        <v>911.55</v>
      </c>
      <c r="AI151" s="35">
        <f t="shared" si="32"/>
        <v>911.55</v>
      </c>
      <c r="AJ151" s="35">
        <f t="shared" si="33"/>
        <v>0</v>
      </c>
      <c r="AK151" s="35">
        <f t="shared" si="34"/>
        <v>0</v>
      </c>
      <c r="AL151" s="35">
        <f t="shared" si="35"/>
        <v>0</v>
      </c>
    </row>
    <row r="152" spans="1:38">
      <c r="A152" s="42">
        <v>242</v>
      </c>
      <c r="B152" s="31" t="s">
        <v>26</v>
      </c>
      <c r="C152" s="14" t="s">
        <v>264</v>
      </c>
      <c r="D152" s="10" t="s">
        <v>262</v>
      </c>
      <c r="E152" s="45" t="s">
        <v>263</v>
      </c>
      <c r="F152" s="41">
        <v>1215.4000000000001</v>
      </c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>
        <v>1215.4000000000001</v>
      </c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>
        <v>1215.4000000000001</v>
      </c>
      <c r="AE152" s="35"/>
      <c r="AF152" s="35"/>
      <c r="AG152" s="35">
        <f t="shared" si="30"/>
        <v>1215.4000000000001</v>
      </c>
      <c r="AH152" s="35">
        <f t="shared" si="31"/>
        <v>1215.4000000000001</v>
      </c>
      <c r="AI152" s="35">
        <f t="shared" si="32"/>
        <v>1215.4000000000001</v>
      </c>
      <c r="AJ152" s="35">
        <f t="shared" si="33"/>
        <v>0</v>
      </c>
      <c r="AK152" s="35">
        <f t="shared" si="34"/>
        <v>0</v>
      </c>
      <c r="AL152" s="35">
        <f t="shared" si="35"/>
        <v>0</v>
      </c>
    </row>
    <row r="153" spans="1:38">
      <c r="A153" s="42">
        <v>243</v>
      </c>
      <c r="B153" s="31" t="s">
        <v>26</v>
      </c>
      <c r="C153" s="14" t="s">
        <v>266</v>
      </c>
      <c r="D153" s="10" t="s">
        <v>265</v>
      </c>
      <c r="E153" s="45" t="s">
        <v>192</v>
      </c>
      <c r="F153" s="41">
        <v>362.5</v>
      </c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>
        <v>362.5</v>
      </c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>
        <v>362.5</v>
      </c>
      <c r="AE153" s="35"/>
      <c r="AF153" s="35"/>
      <c r="AG153" s="35">
        <f t="shared" si="30"/>
        <v>362.5</v>
      </c>
      <c r="AH153" s="35">
        <f t="shared" si="31"/>
        <v>362.5</v>
      </c>
      <c r="AI153" s="35">
        <f t="shared" si="32"/>
        <v>362.5</v>
      </c>
      <c r="AJ153" s="35">
        <f t="shared" si="33"/>
        <v>0</v>
      </c>
      <c r="AK153" s="35">
        <f t="shared" si="34"/>
        <v>0</v>
      </c>
      <c r="AL153" s="35">
        <f t="shared" si="35"/>
        <v>0</v>
      </c>
    </row>
    <row r="154" spans="1:38">
      <c r="A154" s="42">
        <v>247</v>
      </c>
      <c r="B154" s="31" t="s">
        <v>26</v>
      </c>
      <c r="C154" s="14" t="s">
        <v>267</v>
      </c>
      <c r="D154" s="10" t="s">
        <v>154</v>
      </c>
      <c r="E154" s="45" t="s">
        <v>155</v>
      </c>
      <c r="F154" s="41">
        <v>1216.55</v>
      </c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>
        <v>1216.55</v>
      </c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>
        <v>1216.55</v>
      </c>
      <c r="AE154" s="35"/>
      <c r="AF154" s="35"/>
      <c r="AG154" s="35">
        <f t="shared" si="30"/>
        <v>1216.55</v>
      </c>
      <c r="AH154" s="35">
        <f t="shared" si="31"/>
        <v>1216.55</v>
      </c>
      <c r="AI154" s="35">
        <f t="shared" si="32"/>
        <v>1216.55</v>
      </c>
      <c r="AJ154" s="35">
        <f t="shared" si="33"/>
        <v>0</v>
      </c>
      <c r="AK154" s="35">
        <f t="shared" si="34"/>
        <v>0</v>
      </c>
      <c r="AL154" s="35">
        <f t="shared" si="35"/>
        <v>0</v>
      </c>
    </row>
    <row r="155" spans="1:38">
      <c r="A155" s="42">
        <v>248</v>
      </c>
      <c r="B155" s="31" t="s">
        <v>26</v>
      </c>
      <c r="C155" s="14" t="s">
        <v>114</v>
      </c>
      <c r="D155" s="10" t="s">
        <v>154</v>
      </c>
      <c r="E155" s="45" t="s">
        <v>155</v>
      </c>
      <c r="F155" s="41">
        <v>4217.37</v>
      </c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>
        <v>4217.37</v>
      </c>
      <c r="S155" s="41"/>
      <c r="T155" s="41"/>
      <c r="U155" s="41"/>
      <c r="V155" s="41"/>
      <c r="W155" s="41"/>
      <c r="X155" s="41"/>
      <c r="Y155" s="41"/>
      <c r="Z155" s="41"/>
      <c r="AA155" s="41"/>
      <c r="AB155" s="41">
        <v>4217.37</v>
      </c>
      <c r="AC155" s="41"/>
      <c r="AD155" s="41"/>
      <c r="AE155" s="35"/>
      <c r="AF155" s="35"/>
      <c r="AG155" s="35">
        <f t="shared" si="30"/>
        <v>4217.37</v>
      </c>
      <c r="AH155" s="35">
        <f t="shared" si="31"/>
        <v>4217.37</v>
      </c>
      <c r="AI155" s="35">
        <f t="shared" si="32"/>
        <v>4217.37</v>
      </c>
      <c r="AJ155" s="35">
        <f t="shared" si="33"/>
        <v>0</v>
      </c>
      <c r="AK155" s="35">
        <f t="shared" si="34"/>
        <v>0</v>
      </c>
      <c r="AL155" s="35">
        <f t="shared" si="35"/>
        <v>0</v>
      </c>
    </row>
    <row r="156" spans="1:38">
      <c r="A156" s="42">
        <v>249</v>
      </c>
      <c r="B156" s="31" t="s">
        <v>26</v>
      </c>
      <c r="C156" s="14" t="s">
        <v>114</v>
      </c>
      <c r="D156" s="10" t="s">
        <v>268</v>
      </c>
      <c r="E156" s="45" t="s">
        <v>269</v>
      </c>
      <c r="F156" s="41">
        <v>2550.44</v>
      </c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>
        <v>2550.44</v>
      </c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>
        <v>2550.44</v>
      </c>
      <c r="AE156" s="35"/>
      <c r="AF156" s="35"/>
      <c r="AG156" s="35">
        <f t="shared" si="30"/>
        <v>2550.44</v>
      </c>
      <c r="AH156" s="35">
        <f t="shared" si="31"/>
        <v>2550.44</v>
      </c>
      <c r="AI156" s="35">
        <f t="shared" si="32"/>
        <v>2550.44</v>
      </c>
      <c r="AJ156" s="35">
        <f t="shared" si="33"/>
        <v>0</v>
      </c>
      <c r="AK156" s="35">
        <f t="shared" si="34"/>
        <v>0</v>
      </c>
      <c r="AL156" s="35">
        <f t="shared" si="35"/>
        <v>0</v>
      </c>
    </row>
    <row r="157" spans="1:38">
      <c r="A157" s="42">
        <v>250</v>
      </c>
      <c r="B157" s="31" t="s">
        <v>26</v>
      </c>
      <c r="C157" s="14" t="s">
        <v>270</v>
      </c>
      <c r="D157" s="10" t="s">
        <v>271</v>
      </c>
      <c r="E157" s="45" t="s">
        <v>272</v>
      </c>
      <c r="F157" s="41">
        <v>3839</v>
      </c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35">
        <v>3839</v>
      </c>
      <c r="AF157" s="35"/>
      <c r="AG157" s="35">
        <f t="shared" si="30"/>
        <v>0</v>
      </c>
      <c r="AH157" s="35">
        <f t="shared" si="31"/>
        <v>0</v>
      </c>
      <c r="AI157" s="35">
        <f t="shared" si="32"/>
        <v>0</v>
      </c>
      <c r="AJ157" s="35">
        <f t="shared" si="33"/>
        <v>0</v>
      </c>
      <c r="AK157" s="35">
        <f t="shared" si="34"/>
        <v>0</v>
      </c>
      <c r="AL157" s="35">
        <f t="shared" si="35"/>
        <v>0</v>
      </c>
    </row>
    <row r="158" spans="1:38">
      <c r="A158" s="42">
        <v>271</v>
      </c>
      <c r="B158" s="31" t="s">
        <v>26</v>
      </c>
      <c r="C158" s="14" t="s">
        <v>213</v>
      </c>
      <c r="D158" s="10" t="s">
        <v>273</v>
      </c>
      <c r="E158" s="45" t="s">
        <v>274</v>
      </c>
      <c r="F158" s="41">
        <v>900.9</v>
      </c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>
        <v>900.9</v>
      </c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>
        <v>900.9</v>
      </c>
      <c r="AE158" s="35"/>
      <c r="AF158" s="35"/>
      <c r="AG158" s="35">
        <f t="shared" si="30"/>
        <v>900.9</v>
      </c>
      <c r="AH158" s="35">
        <f t="shared" si="31"/>
        <v>900.9</v>
      </c>
      <c r="AI158" s="35">
        <f t="shared" si="32"/>
        <v>900.9</v>
      </c>
      <c r="AJ158" s="35">
        <f t="shared" si="33"/>
        <v>0</v>
      </c>
      <c r="AK158" s="35">
        <f t="shared" si="34"/>
        <v>0</v>
      </c>
      <c r="AL158" s="35">
        <f t="shared" si="35"/>
        <v>0</v>
      </c>
    </row>
    <row r="159" spans="1:38">
      <c r="A159" s="42">
        <v>272</v>
      </c>
      <c r="B159" s="31" t="s">
        <v>26</v>
      </c>
      <c r="C159" s="14" t="s">
        <v>114</v>
      </c>
      <c r="D159" s="10" t="s">
        <v>275</v>
      </c>
      <c r="E159" s="45" t="s">
        <v>276</v>
      </c>
      <c r="F159" s="41">
        <v>1702.11</v>
      </c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>
        <v>1702.11</v>
      </c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>
        <v>1702.11</v>
      </c>
      <c r="AE159" s="35"/>
      <c r="AF159" s="35"/>
      <c r="AG159" s="35">
        <f t="shared" si="30"/>
        <v>1702.11</v>
      </c>
      <c r="AH159" s="35">
        <f t="shared" si="31"/>
        <v>1702.11</v>
      </c>
      <c r="AI159" s="35">
        <f t="shared" si="32"/>
        <v>1702.11</v>
      </c>
      <c r="AJ159" s="35">
        <f t="shared" si="33"/>
        <v>0</v>
      </c>
      <c r="AK159" s="35">
        <f t="shared" si="34"/>
        <v>0</v>
      </c>
      <c r="AL159" s="35">
        <f t="shared" si="35"/>
        <v>0</v>
      </c>
    </row>
    <row r="160" spans="1:38">
      <c r="A160" s="42">
        <v>273</v>
      </c>
      <c r="B160" s="31" t="s">
        <v>26</v>
      </c>
      <c r="C160" s="14" t="s">
        <v>114</v>
      </c>
      <c r="D160" s="10" t="s">
        <v>273</v>
      </c>
      <c r="E160" s="45" t="s">
        <v>274</v>
      </c>
      <c r="F160" s="41">
        <v>3603.6</v>
      </c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>
        <v>3603.6</v>
      </c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>
        <v>3603.6</v>
      </c>
      <c r="AE160" s="35"/>
      <c r="AF160" s="35"/>
      <c r="AG160" s="35">
        <f t="shared" si="30"/>
        <v>3603.6</v>
      </c>
      <c r="AH160" s="35">
        <f t="shared" si="31"/>
        <v>3603.6</v>
      </c>
      <c r="AI160" s="35">
        <f t="shared" si="32"/>
        <v>3603.6</v>
      </c>
      <c r="AJ160" s="35">
        <f t="shared" si="33"/>
        <v>0</v>
      </c>
      <c r="AK160" s="35">
        <f t="shared" si="34"/>
        <v>0</v>
      </c>
      <c r="AL160" s="35">
        <f t="shared" si="35"/>
        <v>0</v>
      </c>
    </row>
    <row r="161" spans="1:38">
      <c r="A161" s="42">
        <v>274</v>
      </c>
      <c r="B161" s="31" t="s">
        <v>26</v>
      </c>
      <c r="C161" s="14" t="s">
        <v>213</v>
      </c>
      <c r="D161" s="10" t="s">
        <v>275</v>
      </c>
      <c r="E161" s="45" t="s">
        <v>276</v>
      </c>
      <c r="F161" s="41">
        <v>464.21</v>
      </c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>
        <v>464.21</v>
      </c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>
        <v>464.21</v>
      </c>
      <c r="AE161" s="35"/>
      <c r="AF161" s="35"/>
      <c r="AG161" s="35">
        <f t="shared" si="30"/>
        <v>464.21</v>
      </c>
      <c r="AH161" s="35">
        <f t="shared" si="31"/>
        <v>464.21</v>
      </c>
      <c r="AI161" s="35">
        <f t="shared" si="32"/>
        <v>464.21</v>
      </c>
      <c r="AJ161" s="35">
        <f t="shared" si="33"/>
        <v>0</v>
      </c>
      <c r="AK161" s="35">
        <f t="shared" si="34"/>
        <v>0</v>
      </c>
      <c r="AL161" s="35">
        <f t="shared" si="35"/>
        <v>0</v>
      </c>
    </row>
    <row r="162" spans="1:38">
      <c r="A162" s="42">
        <v>275</v>
      </c>
      <c r="B162" s="31" t="s">
        <v>26</v>
      </c>
      <c r="C162" s="14" t="s">
        <v>213</v>
      </c>
      <c r="D162" s="10" t="s">
        <v>277</v>
      </c>
      <c r="E162" s="45" t="s">
        <v>278</v>
      </c>
      <c r="F162" s="41">
        <v>1096.17</v>
      </c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>
        <v>1096.17</v>
      </c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>
        <v>1096.17</v>
      </c>
      <c r="AE162" s="35"/>
      <c r="AF162" s="35"/>
      <c r="AG162" s="35">
        <f t="shared" si="30"/>
        <v>1096.17</v>
      </c>
      <c r="AH162" s="35">
        <f t="shared" si="31"/>
        <v>1096.17</v>
      </c>
      <c r="AI162" s="35">
        <f t="shared" si="32"/>
        <v>1096.17</v>
      </c>
      <c r="AJ162" s="35">
        <f t="shared" si="33"/>
        <v>0</v>
      </c>
      <c r="AK162" s="35">
        <f t="shared" si="34"/>
        <v>0</v>
      </c>
      <c r="AL162" s="35">
        <f t="shared" si="35"/>
        <v>0</v>
      </c>
    </row>
    <row r="163" spans="1:38">
      <c r="A163" s="43">
        <v>276</v>
      </c>
      <c r="B163" s="42" t="s">
        <v>26</v>
      </c>
      <c r="C163" s="14" t="s">
        <v>114</v>
      </c>
      <c r="D163" s="10" t="s">
        <v>277</v>
      </c>
      <c r="E163" s="45" t="s">
        <v>278</v>
      </c>
      <c r="F163" s="41">
        <v>3507.73</v>
      </c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>
        <v>3507.73</v>
      </c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>
        <v>3507.73</v>
      </c>
      <c r="AE163" s="4"/>
      <c r="AF163" s="4"/>
      <c r="AG163" s="4">
        <f t="shared" si="30"/>
        <v>3507.73</v>
      </c>
      <c r="AH163" s="4">
        <f t="shared" si="31"/>
        <v>3507.73</v>
      </c>
      <c r="AI163" s="4">
        <f t="shared" si="32"/>
        <v>3507.73</v>
      </c>
      <c r="AJ163" s="4">
        <f t="shared" si="33"/>
        <v>0</v>
      </c>
      <c r="AK163" s="4">
        <f t="shared" si="34"/>
        <v>0</v>
      </c>
      <c r="AL163" s="4">
        <f t="shared" si="35"/>
        <v>0</v>
      </c>
    </row>
  </sheetData>
  <sheetProtection password="E282" sheet="1" objects="1" scenarios="1" formatCells="0" sort="0" autoFilter="0"/>
  <autoFilter ref="A7:AL163">
    <filterColumn colId="1"/>
    <sortState ref="A8:AL167">
      <sortCondition ref="A7:A167"/>
    </sortState>
  </autoFilter>
  <mergeCells count="3">
    <mergeCell ref="G6:R6"/>
    <mergeCell ref="S6:AD6"/>
    <mergeCell ref="C2:C5"/>
  </mergeCells>
  <printOptions horizontalCentered="1"/>
  <pageMargins left="0.19685039370078741" right="0.19685039370078741" top="0.19685039370078741" bottom="0.19685039370078741" header="0.19685039370078741" footer="0.31496062992125984"/>
  <pageSetup paperSize="9" scale="2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EMPENHOS</vt:lpstr>
      <vt:lpstr>EMPENHOS!Titulos_de_impressao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dssilva</dc:creator>
  <cp:lastModifiedBy>Breno Macedo de Melo</cp:lastModifiedBy>
  <cp:lastPrinted>2021-01-20T13:02:09Z</cp:lastPrinted>
  <dcterms:created xsi:type="dcterms:W3CDTF">2019-05-17T13:52:47Z</dcterms:created>
  <dcterms:modified xsi:type="dcterms:W3CDTF">2021-01-20T13:06:48Z</dcterms:modified>
</cp:coreProperties>
</file>